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1"/>
  <workbookPr defaultThemeVersion="166925"/>
  <mc:AlternateContent xmlns:mc="http://schemas.openxmlformats.org/markup-compatibility/2006">
    <mc:Choice Requires="x15">
      <x15ac:absPath xmlns:x15ac="http://schemas.microsoft.com/office/spreadsheetml/2010/11/ac" url="/Users/SHK/Dropbox/Hult International Business School/Business Statistics/"/>
    </mc:Choice>
  </mc:AlternateContent>
  <xr:revisionPtr revIDLastSave="0" documentId="13_ncr:1_{FC6CC92E-FC9E-3149-91B7-C06A2A0DAA7B}" xr6:coauthVersionLast="46" xr6:coauthVersionMax="46" xr10:uidLastSave="{00000000-0000-0000-0000-000000000000}"/>
  <bookViews>
    <workbookView xWindow="380" yWindow="2720" windowWidth="28040" windowHeight="15280" activeTab="1" xr2:uid="{6F4FB3CD-91F0-9444-9D54-7FC49DC4B9F2}"/>
  </bookViews>
  <sheets>
    <sheet name="Instructions, Start Here" sheetId="1" r:id="rId1"/>
    <sheet name="List of Questions" sheetId="2" r:id="rId2"/>
    <sheet name="Hints" sheetId="10"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R11" i="2" l="1"/>
  <c r="CN15" i="2"/>
  <c r="CR12" i="2"/>
  <c r="AY13" i="2"/>
  <c r="BY15" i="2" l="1"/>
  <c r="BX8" i="2"/>
  <c r="BS19" i="2" l="1"/>
  <c r="BR19" i="2"/>
  <c r="BQ19" i="2"/>
  <c r="BP19" i="2"/>
  <c r="BN19" i="2"/>
  <c r="BS18" i="2"/>
  <c r="BR18" i="2"/>
  <c r="BP18" i="2"/>
  <c r="BO18" i="2"/>
  <c r="BN18" i="2"/>
  <c r="BQ17" i="2"/>
  <c r="BP17" i="2"/>
  <c r="BO17" i="2"/>
  <c r="BN17" i="2"/>
  <c r="BS16" i="2"/>
  <c r="BR16" i="2"/>
  <c r="BQ16" i="2"/>
  <c r="BO16" i="2"/>
  <c r="BN16" i="2"/>
  <c r="BR15" i="2"/>
  <c r="BQ15" i="2"/>
  <c r="BP15" i="2"/>
  <c r="BO15" i="2"/>
  <c r="AY15" i="2"/>
  <c r="AY14" i="2"/>
  <c r="AV14" i="2"/>
  <c r="AV13" i="2"/>
  <c r="AL31" i="2"/>
  <c r="AV15" i="2" l="1"/>
  <c r="AR72" i="2"/>
  <c r="AR71" i="2"/>
  <c r="AR70" i="2"/>
  <c r="AR69" i="2"/>
  <c r="AR68" i="2"/>
  <c r="AR67" i="2"/>
  <c r="AR66" i="2"/>
  <c r="AR65" i="2"/>
  <c r="AR64" i="2"/>
  <c r="AR63" i="2"/>
  <c r="AR62" i="2"/>
  <c r="AR61" i="2"/>
  <c r="AR60" i="2"/>
  <c r="AR59" i="2"/>
  <c r="AR58" i="2"/>
  <c r="AR57" i="2"/>
  <c r="AR56" i="2"/>
  <c r="AR55" i="2"/>
  <c r="AR54" i="2"/>
  <c r="AR53" i="2"/>
  <c r="AR52" i="2"/>
  <c r="AR51" i="2"/>
  <c r="AR50" i="2"/>
  <c r="AR49" i="2"/>
  <c r="AR48" i="2"/>
  <c r="AR47" i="2"/>
  <c r="AR46" i="2"/>
  <c r="AR45" i="2"/>
  <c r="AR44" i="2"/>
  <c r="AR43" i="2"/>
  <c r="AR42" i="2"/>
  <c r="AR41" i="2"/>
  <c r="AR40" i="2"/>
  <c r="AR39" i="2"/>
  <c r="AR38" i="2"/>
  <c r="AR37" i="2"/>
  <c r="AR36" i="2"/>
  <c r="AR35" i="2"/>
  <c r="AR34" i="2"/>
  <c r="AR33" i="2"/>
  <c r="AR32" i="2"/>
  <c r="AR31" i="2"/>
  <c r="AO72" i="2"/>
  <c r="AO71" i="2"/>
  <c r="AO70" i="2"/>
  <c r="AO69" i="2"/>
  <c r="AO68" i="2"/>
  <c r="AO67" i="2"/>
  <c r="AO66" i="2"/>
  <c r="AO65" i="2"/>
  <c r="AO64" i="2"/>
  <c r="AO63" i="2"/>
  <c r="AO62" i="2"/>
  <c r="AO61" i="2"/>
  <c r="AO60" i="2"/>
  <c r="AO59" i="2"/>
  <c r="AO58" i="2"/>
  <c r="AO57" i="2"/>
  <c r="AO56" i="2"/>
  <c r="AO55" i="2"/>
  <c r="AO54" i="2"/>
  <c r="AO53" i="2"/>
  <c r="AO52" i="2"/>
  <c r="AO51" i="2"/>
  <c r="AO50" i="2"/>
  <c r="AO49" i="2"/>
  <c r="AO48" i="2"/>
  <c r="AO47" i="2"/>
  <c r="AO46" i="2"/>
  <c r="AO45" i="2"/>
  <c r="AO44" i="2"/>
  <c r="AO43" i="2"/>
  <c r="AO42" i="2"/>
  <c r="AO41" i="2"/>
  <c r="AO40" i="2"/>
  <c r="AO39" i="2"/>
  <c r="AO38" i="2"/>
  <c r="AO37" i="2"/>
  <c r="AO36" i="2"/>
  <c r="AO35" i="2"/>
  <c r="AO34" i="2"/>
  <c r="AO33" i="2"/>
  <c r="AO32" i="2"/>
  <c r="AO31" i="2"/>
  <c r="AL72" i="2"/>
  <c r="AL71" i="2"/>
  <c r="AL70" i="2"/>
  <c r="AL69" i="2"/>
  <c r="AL68" i="2"/>
  <c r="AL67" i="2"/>
  <c r="AL66" i="2"/>
  <c r="AL65" i="2"/>
  <c r="AL64" i="2"/>
  <c r="AL63" i="2"/>
  <c r="AL62" i="2"/>
  <c r="AL61" i="2"/>
  <c r="AL60" i="2"/>
  <c r="AL59" i="2"/>
  <c r="AL58" i="2"/>
  <c r="AL57" i="2"/>
  <c r="AL56" i="2"/>
  <c r="AL55" i="2"/>
  <c r="AL54" i="2"/>
  <c r="AL53" i="2"/>
  <c r="AL52" i="2"/>
  <c r="AL51" i="2"/>
  <c r="AL50" i="2"/>
  <c r="AL49" i="2"/>
  <c r="AL48" i="2"/>
  <c r="AL47" i="2"/>
  <c r="AL46" i="2"/>
  <c r="AL45" i="2"/>
  <c r="AL44" i="2"/>
  <c r="AL43" i="2"/>
  <c r="AL42" i="2"/>
  <c r="AL41" i="2"/>
  <c r="AL40" i="2"/>
  <c r="AL39" i="2"/>
  <c r="AL38" i="2"/>
  <c r="AL37" i="2"/>
  <c r="AL36" i="2"/>
  <c r="AL35" i="2"/>
  <c r="AL34" i="2"/>
  <c r="AL33" i="2"/>
  <c r="AL32" i="2"/>
  <c r="AB18" i="2"/>
  <c r="X20" i="2" l="1"/>
  <c r="W20" i="2"/>
  <c r="AH19" i="2"/>
  <c r="AG19" i="2"/>
  <c r="AF19" i="2"/>
  <c r="AE19" i="2"/>
  <c r="AD19" i="2"/>
  <c r="AC19" i="2"/>
  <c r="AB19" i="2"/>
  <c r="AA19" i="2"/>
  <c r="Z19" i="2"/>
  <c r="Y19" i="2"/>
  <c r="X19" i="2"/>
  <c r="W19" i="2"/>
  <c r="AH18" i="2"/>
  <c r="AG18" i="2"/>
  <c r="AF18" i="2"/>
  <c r="AE18" i="2"/>
  <c r="AD18" i="2"/>
  <c r="AC18" i="2"/>
  <c r="AA18" i="2"/>
  <c r="Z18" i="2"/>
  <c r="Y18" i="2"/>
  <c r="X18" i="2"/>
  <c r="W18" i="2"/>
  <c r="AH17" i="2"/>
  <c r="AG17" i="2"/>
  <c r="AF17" i="2"/>
  <c r="AE17" i="2"/>
  <c r="AD17" i="2"/>
  <c r="AC17" i="2"/>
  <c r="AB17" i="2"/>
  <c r="AA17" i="2"/>
  <c r="Z17" i="2"/>
  <c r="Y17" i="2"/>
  <c r="X17" i="2"/>
  <c r="W17" i="2"/>
  <c r="AH16" i="2"/>
  <c r="AG16" i="2"/>
  <c r="AF16" i="2"/>
  <c r="AE16" i="2"/>
  <c r="AD16" i="2"/>
  <c r="AC16" i="2"/>
  <c r="AB16" i="2"/>
  <c r="AA16" i="2"/>
  <c r="Z16" i="2"/>
  <c r="Y16" i="2"/>
  <c r="X16" i="2"/>
  <c r="W16" i="2"/>
  <c r="J20" i="2"/>
  <c r="I20" i="2"/>
  <c r="T19" i="2"/>
  <c r="S19" i="2"/>
  <c r="R19" i="2"/>
  <c r="Q19" i="2"/>
  <c r="P19" i="2"/>
  <c r="O19" i="2"/>
  <c r="N19" i="2"/>
  <c r="M19" i="2"/>
  <c r="L19" i="2"/>
  <c r="K19" i="2"/>
  <c r="J19" i="2"/>
  <c r="I19" i="2"/>
  <c r="T18" i="2"/>
  <c r="S18" i="2"/>
  <c r="R18" i="2"/>
  <c r="Q18" i="2"/>
  <c r="P18" i="2"/>
  <c r="O18" i="2"/>
  <c r="N18" i="2"/>
  <c r="M18" i="2"/>
  <c r="L18" i="2"/>
  <c r="K18" i="2"/>
  <c r="J18" i="2"/>
  <c r="I18" i="2"/>
  <c r="T17" i="2"/>
  <c r="S17" i="2"/>
  <c r="R17" i="2"/>
  <c r="Q17" i="2"/>
  <c r="P17" i="2"/>
  <c r="O17" i="2"/>
  <c r="N17" i="2"/>
  <c r="M17" i="2"/>
  <c r="L17" i="2"/>
  <c r="K17" i="2"/>
  <c r="J17" i="2"/>
  <c r="I17" i="2"/>
  <c r="T16" i="2"/>
  <c r="S16" i="2"/>
  <c r="R16" i="2"/>
  <c r="Q16" i="2"/>
  <c r="P16" i="2"/>
  <c r="O16" i="2"/>
  <c r="N16" i="2"/>
  <c r="M16" i="2"/>
  <c r="L16" i="2"/>
  <c r="K16" i="2"/>
  <c r="J16" i="2"/>
  <c r="I16" i="2"/>
  <c r="B12" i="2"/>
  <c r="D24" i="2"/>
  <c r="D23" i="2"/>
  <c r="D22" i="2"/>
  <c r="D21" i="2"/>
  <c r="D20" i="2"/>
  <c r="D19" i="2"/>
  <c r="D18" i="2"/>
  <c r="C24" i="2"/>
  <c r="C23" i="2"/>
  <c r="C22" i="2"/>
  <c r="C21" i="2"/>
  <c r="C20" i="2"/>
  <c r="C19" i="2"/>
  <c r="C18" i="2"/>
  <c r="B24" i="2"/>
  <c r="B23" i="2"/>
  <c r="B22" i="2"/>
  <c r="B21" i="2"/>
  <c r="B20" i="2"/>
  <c r="B19" i="2"/>
  <c r="B18" i="2"/>
  <c r="C12" i="2"/>
  <c r="D15" i="2"/>
  <c r="D14" i="2"/>
  <c r="C15" i="2"/>
  <c r="C14" i="2"/>
  <c r="C13" i="2"/>
  <c r="B15" i="2"/>
  <c r="B14" i="2"/>
  <c r="B13" i="2"/>
  <c r="D13" i="2"/>
  <c r="D12" i="2"/>
</calcChain>
</file>

<file path=xl/sharedStrings.xml><?xml version="1.0" encoding="utf-8"?>
<sst xmlns="http://schemas.openxmlformats.org/spreadsheetml/2006/main" count="352" uniqueCount="254">
  <si>
    <t>PLEASE DO NOT CHANGE ANY CELLS ON THIS SHEET!</t>
  </si>
  <si>
    <t>Student Name</t>
  </si>
  <si>
    <t>Course ID:</t>
  </si>
  <si>
    <r>
      <t xml:space="preserve">ENTER YOUR COURSE ID IN THE </t>
    </r>
    <r>
      <rPr>
        <b/>
        <sz val="14"/>
        <color theme="1"/>
        <rFont val="Times New Roman"/>
        <family val="1"/>
      </rPr>
      <t>BLACK</t>
    </r>
    <r>
      <rPr>
        <b/>
        <sz val="14"/>
        <color rgb="FFFF0000"/>
        <rFont val="Times New Roman"/>
        <family val="1"/>
      </rPr>
      <t xml:space="preserve"> BOX BELOW:</t>
    </r>
  </si>
  <si>
    <t>Question 1: (from chapter 2)</t>
  </si>
  <si>
    <t>Course ID</t>
  </si>
  <si>
    <t>Alberto Tancredi</t>
  </si>
  <si>
    <t>FRESH FOOD</t>
  </si>
  <si>
    <t>COUNTRY</t>
  </si>
  <si>
    <t>United States</t>
  </si>
  <si>
    <t>Japan</t>
  </si>
  <si>
    <t>Russia</t>
  </si>
  <si>
    <t>Eggs, nuts and beans</t>
  </si>
  <si>
    <t>Fruit</t>
  </si>
  <si>
    <t>Meat and seafood</t>
  </si>
  <si>
    <t>Vegetables</t>
  </si>
  <si>
    <t>PACKAGED FOOD</t>
  </si>
  <si>
    <t>Bakery goods</t>
  </si>
  <si>
    <t>Snacks and candy</t>
  </si>
  <si>
    <t>Sauces and dressings</t>
  </si>
  <si>
    <t>Processed and frozen</t>
  </si>
  <si>
    <t>Diary products</t>
  </si>
  <si>
    <t>Pasta</t>
  </si>
  <si>
    <t>Soup and canned food</t>
  </si>
  <si>
    <t>The following data represent the pounds per capira of fresh food and packaged food consumed in the United States, Japan, and Russia. (data is not real as it changes per student)</t>
  </si>
  <si>
    <t>a. For the United States, Japan, and Russia, construct a bar chart, a pie chart, and a Pareto chart for different types of fresh foods consumed.</t>
  </si>
  <si>
    <t>b. For the United States, Japan, and Russia, construct a bar chart, a pie chart, and a Pareto chart for different types of packaged foods consumed.</t>
  </si>
  <si>
    <t>c. What conclusions can you reach concerning differences between the United States, Japan, and Russia in fresh foods and packaged foods consumed?</t>
  </si>
  <si>
    <t>Question 2: (from chapter 2)</t>
  </si>
  <si>
    <t>One of the major measures of the quality of service provided by an organization is the speed with which the organization responds to customer complaints. A large family-held department store selling furniture and flooring, including carpet, had undergone a major expansion in the past several years. In particular, the flooring department had expanded from 2 installation crews to an installation supervisor, a measurer, and 15 installation crews. A business objective of the company was to reduce the time between when the complaint is received and when it is resolved. During a recent year, the company received 50 complaints concerning carpet installation. The number of days between the receipt of the complain and the resolution of the complaint for the 50 complaints are:</t>
  </si>
  <si>
    <t>a. Construct a frequency distribution and a percentage distribution.</t>
  </si>
  <si>
    <t>b. Construct a histogram and a percentage polygon.</t>
  </si>
  <si>
    <t>c. Construct a cumulative percentage distribution and plot a cumulative percentage polygon (ogive).</t>
  </si>
  <si>
    <t>d. On the basis of the results of (a) through (c), if you had to tell the president of the company how long a customer should expect to wait to have a complaint resolved, what would you say? Explain.</t>
  </si>
  <si>
    <t>Question 3: (from chapter 3) - It builds up on the previous question.</t>
  </si>
  <si>
    <t>a. Compute the mean, median, first quartile, and third quartile.</t>
  </si>
  <si>
    <t>b. Compute the range, interquartile range, variance, standard deviation, and coefficient of variation.</t>
  </si>
  <si>
    <t>c. Construct a boxplot. Are the data skewed? If so, how?</t>
  </si>
  <si>
    <t>New Delhi</t>
  </si>
  <si>
    <t>Bangkok</t>
  </si>
  <si>
    <t>Las Vegas</t>
  </si>
  <si>
    <t>Hong Kong</t>
  </si>
  <si>
    <t>Mexico City</t>
  </si>
  <si>
    <t>Cancun</t>
  </si>
  <si>
    <t>Budapest</t>
  </si>
  <si>
    <t>Orlando</t>
  </si>
  <si>
    <t>Singapore</t>
  </si>
  <si>
    <t>Dubai</t>
  </si>
  <si>
    <t>Dublin</t>
  </si>
  <si>
    <t>Prague</t>
  </si>
  <si>
    <t>Frankfurt</t>
  </si>
  <si>
    <t>Berlin</t>
  </si>
  <si>
    <t>Munich</t>
  </si>
  <si>
    <t>Pisa</t>
  </si>
  <si>
    <t>Tokyo</t>
  </si>
  <si>
    <t>Madrid</t>
  </si>
  <si>
    <t>Stockholm</t>
  </si>
  <si>
    <t>London</t>
  </si>
  <si>
    <t>Istanbul</t>
  </si>
  <si>
    <t>San Francisco</t>
  </si>
  <si>
    <t>Rome</t>
  </si>
  <si>
    <t>Toronto</t>
  </si>
  <si>
    <t>Barcelona</t>
  </si>
  <si>
    <t>Los Angeles</t>
  </si>
  <si>
    <t>Miami</t>
  </si>
  <si>
    <t>Copenhagen</t>
  </si>
  <si>
    <t>Edinburgh</t>
  </si>
  <si>
    <t>Nice</t>
  </si>
  <si>
    <t>Amsterdam</t>
  </si>
  <si>
    <t>Chicago</t>
  </si>
  <si>
    <t>Paris</t>
  </si>
  <si>
    <t>Seattle</t>
  </si>
  <si>
    <t>Montreal</t>
  </si>
  <si>
    <t>Vancouver</t>
  </si>
  <si>
    <t>Rio De Janiero</t>
  </si>
  <si>
    <t>Venice</t>
  </si>
  <si>
    <t>Boston</t>
  </si>
  <si>
    <t>Washington</t>
  </si>
  <si>
    <t>Cape Town</t>
  </si>
  <si>
    <t>New York</t>
  </si>
  <si>
    <t>City</t>
  </si>
  <si>
    <t>Two-Star</t>
  </si>
  <si>
    <t>Three-Star</t>
  </si>
  <si>
    <t>Four-Star</t>
  </si>
  <si>
    <t>Question 4: (from chapter 3)</t>
  </si>
  <si>
    <t>You can find the prices in British Pounds of a room at two-star, three-star, and four-star hotles in cities around the world below. Complete the following for the two-star, three-star and four-star hotels separately:</t>
  </si>
  <si>
    <t>a. Compute the mean, media, first quartile, and third quartile.</t>
  </si>
  <si>
    <t>c. Interpret the measures of central tendency and variation within the context of this problem.</t>
  </si>
  <si>
    <t>d. Construct a boxplot. Are the data skewed? If so, how?</t>
  </si>
  <si>
    <t>e. Compute the covariance between the average price at two-star and three-star hotels, between two-star and four-star hotels, and between three-star and four-star hotels.</t>
  </si>
  <si>
    <t>f. Compute the coefficient of correlation between the average price at two-star and three-star hotels, between two-star and four-star hotels, and between three-star and four-star hotels.</t>
  </si>
  <si>
    <t>g. Which do you think is more valuable in expressing the relationship between the average price of a room at two-star, three-star, and four-star hotels _ the covariance or the coefficient of correlation? Explain.</t>
  </si>
  <si>
    <t>h. Based on (f), what conclusions can you reach about the relationship between the average price of a room at two-star, three-star, and four-star hotels?</t>
  </si>
  <si>
    <t>No hints for now :)</t>
  </si>
  <si>
    <t>But keep watching this sheet :D</t>
  </si>
  <si>
    <t>Question 5: (from chapter 4)</t>
  </si>
  <si>
    <t>The first table below shows the probability of people in a town being Coservative, Socialist or Libreal. The second table shows the percentage of each  group voted in the last election.
A person from the town is selected at random, and states that she voted at the last election. What us the probability thst she is a Socialist? Hint: use Bayes theorem!</t>
  </si>
  <si>
    <t>Conservative</t>
  </si>
  <si>
    <t>Socialist</t>
  </si>
  <si>
    <t>Liberal</t>
  </si>
  <si>
    <t>Politial View</t>
  </si>
  <si>
    <t>Political View</t>
  </si>
  <si>
    <t>% of population</t>
  </si>
  <si>
    <t>% voted in last election</t>
  </si>
  <si>
    <t>Question 6: (from chapter 4)</t>
  </si>
  <si>
    <t>Tay-Sachs is a rare fatal genetic disease occuring chiefly in childeren. Suppose that we limit ourselves to families which have (a) exactly three children, and (b) which have both parents carrying the Tay-Sachs disease. For such parrents, each child has independent probability 1/4 (one out of four) of getting the disease.
Write X to be the random variable representing the number of children that will have the disease.</t>
  </si>
  <si>
    <t>a. Show (without using any knowledge you might have about the binomial distribution!) that the probability distribution for X is as follows:</t>
  </si>
  <si>
    <t>P(X = k)</t>
  </si>
  <si>
    <t>k</t>
  </si>
  <si>
    <t>27/64</t>
  </si>
  <si>
    <t>9/64</t>
  </si>
  <si>
    <t>1/64</t>
  </si>
  <si>
    <t>(b) Calculate the expected value and the variance for the variable X as defined above.</t>
  </si>
  <si>
    <t>Question 7: (from chapter 4)</t>
  </si>
  <si>
    <t>A volunteer for the Drug &amp; Alcohol Education Center was investigating the attitudes of CSU students towards binge drinking on campus. A simple random sample of 730 students from all four grade levels was taken. Each student was given the statement “Binge drinking of CSU students has become too frequent and dangerous,” and asked whether they strongly agreed, agreed, had no opinion, disagreed, or strongly disagreed. The following contingency table summarizes the results.</t>
  </si>
  <si>
    <t xml:space="preserve">1) Complete the contingency table. </t>
  </si>
  <si>
    <t xml:space="preserve">Grade Strongly Agree Agree </t>
  </si>
  <si>
    <t>Freshman</t>
  </si>
  <si>
    <t>Sophomore</t>
  </si>
  <si>
    <t>Junior</t>
  </si>
  <si>
    <t>Senior</t>
  </si>
  <si>
    <t>Total</t>
  </si>
  <si>
    <t>Strongly Agree</t>
  </si>
  <si>
    <t>Agree</t>
  </si>
  <si>
    <t>No Opinion</t>
  </si>
  <si>
    <t>Disagree</t>
  </si>
  <si>
    <t>Strongly Disagree</t>
  </si>
  <si>
    <t>2) What is the marginal probability of those students who have no opinion?</t>
  </si>
  <si>
    <t>3) What is the interpretation of this marginal probability?</t>
  </si>
  <si>
    <t>4) Compute the conditional probability that a student disagreed with the statement given they were a junior.</t>
  </si>
  <si>
    <t>5) What is the interpretation of this conditional probability?</t>
  </si>
  <si>
    <t>6) What is the conditional probability that a student was a sophomore given they strongly agreed?</t>
  </si>
  <si>
    <t>7) Interpret this conditional probability in terms of the problem.</t>
  </si>
  <si>
    <t>8) Say another volunteer was going to take a simple random sample of 350 seniors at CSU and ask their opinion of the same statement above. How many seniors that agree with the statement would they expect to find?</t>
  </si>
  <si>
    <t>Question 8: (from chapter 5)</t>
  </si>
  <si>
    <t>A random variable X has the distribution B(12,p).</t>
  </si>
  <si>
    <t>(i) find P(X&lt;5)</t>
  </si>
  <si>
    <t>(ii) find P(X&gt;=7)</t>
  </si>
  <si>
    <t>(a) Given that</t>
  </si>
  <si>
    <t>p =</t>
  </si>
  <si>
    <t>(b) Given that P(X=0) = 0.05, find the value of p to 3 decimal places.</t>
  </si>
  <si>
    <t>(c) Given the variance of X is</t>
  </si>
  <si>
    <t>find the possible values of p.</t>
  </si>
  <si>
    <t>Question 9: (from chapter 5)</t>
  </si>
  <si>
    <t>A stunt person injures himself an average of three times a year. Use Poisson probability formula to calculate the probability that he will be injured:</t>
  </si>
  <si>
    <t>a. 4 times a year</t>
  </si>
  <si>
    <t>b. less than twice this year.</t>
  </si>
  <si>
    <t>c. more than three times this year.</t>
  </si>
  <si>
    <t>d. once in the six months.</t>
  </si>
  <si>
    <t>Question 10: (from chapter 6)</t>
  </si>
  <si>
    <t>Question 11: (from chapter 6)</t>
  </si>
  <si>
    <t>a. between the target and the actual mean?</t>
  </si>
  <si>
    <t>b. between the lower specification limit and the target?</t>
  </si>
  <si>
    <t>c. above the upper specification limit?</t>
  </si>
  <si>
    <t>d. below the lower specification limit?</t>
  </si>
  <si>
    <t>e. Of all the ball bearings, 93% of the diameters are greater than what value?</t>
  </si>
  <si>
    <t>inch</t>
  </si>
  <si>
    <t>Actual standard deviation of the ball bearings:</t>
  </si>
  <si>
    <t>Results from the past exercise:</t>
  </si>
  <si>
    <t>Actual diameter of the ball bearings:</t>
  </si>
  <si>
    <t>What is the probability that a ball bearing is:</t>
  </si>
  <si>
    <t xml:space="preserve">An industrial sewing machine uses ball bearings that are targeted to have a diameter of 0.75 inch. The lower and upper specification limits under which the ball bearings can operate are 0.74 and 0.76 inch, respectively. Past exercise has indicated that the actual diameter of the ball bearings is approximately normally distributed, with the mean and the standard deviation shown in the table below: </t>
  </si>
  <si>
    <t>Index</t>
  </si>
  <si>
    <t>S&amp;P500</t>
  </si>
  <si>
    <t>NASDAQ</t>
  </si>
  <si>
    <t>The major stock market indexes had strong results in one of the past years, with the "mean one-year return" and the "standard deviation of returns" (both in %) described in the table below:</t>
  </si>
  <si>
    <t>S&amp;P500 includes 500 stocks of very large companies, and NASDAQ includes 3,200 stocks of small and mediam-sized companies.</t>
  </si>
  <si>
    <t>Return (%)</t>
  </si>
  <si>
    <t>S.D. (%)</t>
  </si>
  <si>
    <t>a. What is the probability that a stock in the S&amp;P500 gained value in this year?</t>
  </si>
  <si>
    <t>b. What is the probability that a stock in the S&amp;P500 gained 10% or more in this year?</t>
  </si>
  <si>
    <t>c. What is the probability that a stock in the S&amp;P500 lost 20% or more in this year?</t>
  </si>
  <si>
    <t>d. What is the probability that a stock in the S&amp;P500 lost 30% or more in this year?</t>
  </si>
  <si>
    <t>e. Repeat (a) through (d) for a stock in the NASDAQ.</t>
  </si>
  <si>
    <t>f. Write a short summary on your findings. Be sure to include a discussion of the risks associated with a large standard deviation.</t>
  </si>
  <si>
    <t>Question 12: (from chapter 7)</t>
  </si>
  <si>
    <t>Question 13: (from chapter 7)</t>
  </si>
  <si>
    <t>The fill amount of bottles of a soft drink is normally distributed, with a mean of 2.0 liters and a standard deviation of 0.05 liter. If you select a random sample of 25 bottles, what is the probability that the sample mean will be:</t>
  </si>
  <si>
    <t>a. between 1.99 and 2.0 liters?</t>
  </si>
  <si>
    <t>c. greater than 2.01 liters?</t>
  </si>
  <si>
    <t>b. below 1.98 liters?</t>
  </si>
  <si>
    <t>d. The probability is 99% that the sample mean amount of soft drink will be at least how much?</t>
  </si>
  <si>
    <t>e. The probability is 99% that the sample mean amount of soft drink will be between which two values (symmetrically distributed around the mean)?</t>
  </si>
  <si>
    <t>An article reported that the stock market in China had a mean return of 3.17% in 2013. Assume that the returns for stocks on the Chinese stock market were distributed normally, with a mean of 3.17 and a standard deviation of 10. If you select an individual stock from this population, what is the probability that it would have a return:</t>
  </si>
  <si>
    <t>a. less than 0 (i.e., a loss)?</t>
  </si>
  <si>
    <t>b. between -10 and -20?</t>
  </si>
  <si>
    <t>c. greater than -5?</t>
  </si>
  <si>
    <t>If you selected a random sample of four stocks from this population, what is the probability that the sample would have a mean return:</t>
  </si>
  <si>
    <t>d. less than 0 (i.e., a loss)?</t>
  </si>
  <si>
    <t>e. between -10 and -20?</t>
  </si>
  <si>
    <t>f. greater than -5?</t>
  </si>
  <si>
    <t>g. Compare your results in parts (d) through (f) to those in (a) through (c) and comment.</t>
  </si>
  <si>
    <t>No more questions will be posted. Your first assignment contains 13 questions in total.</t>
  </si>
  <si>
    <t>Avnita Ahuja</t>
  </si>
  <si>
    <t>Amine Awad</t>
  </si>
  <si>
    <t>DBDivine Barume</t>
  </si>
  <si>
    <t>Zeineb Bouzid</t>
  </si>
  <si>
    <t>Paula Bucaresky</t>
  </si>
  <si>
    <t>Susmita Dave</t>
  </si>
  <si>
    <t>Ali Ibrahim Abou El Ela</t>
  </si>
  <si>
    <t>Maxime Elallouf</t>
  </si>
  <si>
    <t>Maximilian Ernst Otto Ferken</t>
  </si>
  <si>
    <t>Nikolas Uriel Gregorieu</t>
  </si>
  <si>
    <t>Asli Inkaya</t>
  </si>
  <si>
    <t>Sylvette Jacobs</t>
  </si>
  <si>
    <t>Ajay Jayakumaran</t>
  </si>
  <si>
    <t>Carmen Jiang</t>
  </si>
  <si>
    <t>Elisa Ramirez San Jose</t>
  </si>
  <si>
    <t>MKMariia Khairutdinova</t>
  </si>
  <si>
    <t>Antonie Kjosas</t>
  </si>
  <si>
    <t>Cassandra Sabina Lindholm</t>
  </si>
  <si>
    <t>Leonard Lischke</t>
  </si>
  <si>
    <t>Aino Maaria Manty</t>
  </si>
  <si>
    <t>Fernanda Mercenari</t>
  </si>
  <si>
    <t>Hugo Moureau</t>
  </si>
  <si>
    <t>George Nying</t>
  </si>
  <si>
    <t>Siobhán O'Sullivan</t>
  </si>
  <si>
    <t>Sabina Ryspekova</t>
  </si>
  <si>
    <t>Giulia Sale</t>
  </si>
  <si>
    <t>Maria Shoror</t>
  </si>
  <si>
    <t>Rafan Hussin Abdalla Shtewi</t>
  </si>
  <si>
    <t>Eric So</t>
  </si>
  <si>
    <t>Jan Tomasz Szelag</t>
  </si>
  <si>
    <t>Pavle Tomasevic</t>
  </si>
  <si>
    <t>Edoardo Enzo Toninelli</t>
  </si>
  <si>
    <t>Dara Andrea Valle</t>
  </si>
  <si>
    <t>Thomas Walton</t>
  </si>
  <si>
    <t>Tracy Iswa Werunga</t>
  </si>
  <si>
    <t>Section: MAT210 - LON4</t>
  </si>
  <si>
    <t>Section: MAT210 - LON5</t>
  </si>
  <si>
    <t>Niklas Achleitner</t>
  </si>
  <si>
    <t>DADestwin Adotey</t>
  </si>
  <si>
    <t>Anton Bakhar</t>
  </si>
  <si>
    <t>Chakradhar Bandaru</t>
  </si>
  <si>
    <t>Alia Beny</t>
  </si>
  <si>
    <t>Carl Fredrik Bernadotte</t>
  </si>
  <si>
    <t>Yan Bukholts</t>
  </si>
  <si>
    <t>Santiago Corredor</t>
  </si>
  <si>
    <t>Jiacheng Gui</t>
  </si>
  <si>
    <t>Victoria Himawan</t>
  </si>
  <si>
    <t>Celine Netland Hodne</t>
  </si>
  <si>
    <t>Sergei Kabukaev</t>
  </si>
  <si>
    <t>Srey Petch Kem</t>
  </si>
  <si>
    <t>Maximilian Kretz</t>
  </si>
  <si>
    <t>Ulrich Malo</t>
  </si>
  <si>
    <t>Thibault De Meester</t>
  </si>
  <si>
    <t>Prisca Genevieve Meto</t>
  </si>
  <si>
    <t>Benjamin Tomassen Nordahl</t>
  </si>
  <si>
    <t>ELISA ORUS PLANA</t>
  </si>
  <si>
    <t>Margalita Sarishvili</t>
  </si>
  <si>
    <t>Mehtab Singh</t>
  </si>
  <si>
    <t>Hamza Yajid</t>
  </si>
  <si>
    <t>Nicole Zahouani</t>
  </si>
  <si>
    <r>
      <t>Dear Students,
Please</t>
    </r>
    <r>
      <rPr>
        <b/>
        <sz val="14"/>
        <color rgb="FFFF0000"/>
        <rFont val="Times New Roman"/>
        <family val="1"/>
      </rPr>
      <t xml:space="preserve"> read these instructions carefully!</t>
    </r>
    <r>
      <rPr>
        <b/>
        <sz val="14"/>
        <color theme="1"/>
        <rFont val="Times New Roman"/>
        <family val="1"/>
      </rPr>
      <t xml:space="preserve"> It is super important that you follow all the steps below precisely, otherwise something could go wrong in completing the assignments or submitting it in the correct format.
This file contains the </t>
    </r>
    <r>
      <rPr>
        <b/>
        <sz val="14"/>
        <color rgb="FFFF0000"/>
        <rFont val="Times New Roman"/>
        <family val="1"/>
      </rPr>
      <t>questions</t>
    </r>
    <r>
      <rPr>
        <b/>
        <sz val="14"/>
        <color theme="1"/>
        <rFont val="Times New Roman"/>
        <family val="1"/>
      </rPr>
      <t xml:space="preserve"> you will answer for this assignment. There is </t>
    </r>
    <r>
      <rPr>
        <b/>
        <sz val="14"/>
        <color rgb="FFFF0000"/>
        <rFont val="Times New Roman"/>
        <family val="1"/>
      </rPr>
      <t>another file</t>
    </r>
    <r>
      <rPr>
        <b/>
        <sz val="14"/>
        <color theme="1"/>
        <rFont val="Times New Roman"/>
        <family val="1"/>
      </rPr>
      <t xml:space="preserve"> accompanying it (</t>
    </r>
    <r>
      <rPr>
        <b/>
        <sz val="14"/>
        <color rgb="FFFF0000"/>
        <rFont val="Times New Roman"/>
        <family val="1"/>
      </rPr>
      <t>MAT210 - A1 - YOUR NAME - YOUR COURSE ID</t>
    </r>
    <r>
      <rPr>
        <b/>
        <sz val="14"/>
        <color theme="1"/>
        <rFont val="Times New Roman"/>
        <family val="1"/>
      </rPr>
      <t xml:space="preserve">) in which you can provide your answers and submit later.
Please open the </t>
    </r>
    <r>
      <rPr>
        <b/>
        <sz val="14"/>
        <color rgb="FFFF0000"/>
        <rFont val="Times New Roman"/>
        <family val="1"/>
      </rPr>
      <t>"MAT210 - A1 - YOUR NAME - YOUR COURSE ID"</t>
    </r>
    <r>
      <rPr>
        <b/>
        <sz val="14"/>
        <color theme="1"/>
        <rFont val="Times New Roman"/>
        <family val="1"/>
      </rPr>
      <t xml:space="preserve"> file and save it with a new name </t>
    </r>
    <r>
      <rPr>
        <b/>
        <sz val="14"/>
        <color rgb="FFFF0000"/>
        <rFont val="Times New Roman"/>
        <family val="1"/>
      </rPr>
      <t>RIGHT NOW</t>
    </r>
    <r>
      <rPr>
        <b/>
        <sz val="14"/>
        <color theme="1"/>
        <rFont val="Times New Roman"/>
        <family val="1"/>
      </rPr>
      <t xml:space="preserve">, replacing </t>
    </r>
    <r>
      <rPr>
        <b/>
        <sz val="14"/>
        <color rgb="FFFF0000"/>
        <rFont val="Times New Roman"/>
        <family val="1"/>
      </rPr>
      <t>"YOUR NAME"</t>
    </r>
    <r>
      <rPr>
        <b/>
        <sz val="14"/>
        <color theme="1"/>
        <rFont val="Times New Roman"/>
        <family val="1"/>
      </rPr>
      <t xml:space="preserve"> and </t>
    </r>
    <r>
      <rPr>
        <b/>
        <sz val="14"/>
        <color rgb="FFFF0000"/>
        <rFont val="Times New Roman"/>
        <family val="1"/>
      </rPr>
      <t>"YOUR COURSE ID"</t>
    </r>
    <r>
      <rPr>
        <b/>
        <sz val="14"/>
        <color theme="1"/>
        <rFont val="Times New Roman"/>
        <family val="1"/>
      </rPr>
      <t xml:space="preserve"> at the end of the file name with your name and </t>
    </r>
    <r>
      <rPr>
        <b/>
        <sz val="14"/>
        <color rgb="FFFF0000"/>
        <rFont val="Times New Roman"/>
        <family val="1"/>
      </rPr>
      <t>"MAT.Course.ID" from the table below</t>
    </r>
    <r>
      <rPr>
        <b/>
        <sz val="14"/>
        <color theme="1"/>
        <rFont val="Times New Roman"/>
        <family val="1"/>
      </rPr>
      <t xml:space="preserve">.
You each have your unique </t>
    </r>
    <r>
      <rPr>
        <b/>
        <sz val="14"/>
        <color rgb="FFFF0000"/>
        <rFont val="Times New Roman"/>
        <family val="1"/>
      </rPr>
      <t>MAT.Course.ID</t>
    </r>
    <r>
      <rPr>
        <b/>
        <sz val="14"/>
        <color theme="1"/>
        <rFont val="Times New Roman"/>
        <family val="1"/>
      </rPr>
      <t xml:space="preserve"> (which I might occasionally refer to as your </t>
    </r>
    <r>
      <rPr>
        <b/>
        <sz val="14"/>
        <color rgb="FFFF0000"/>
        <rFont val="Times New Roman"/>
        <family val="1"/>
      </rPr>
      <t>Course ID</t>
    </r>
    <r>
      <rPr>
        <b/>
        <sz val="14"/>
        <color theme="1"/>
        <rFont val="Times New Roman"/>
        <family val="1"/>
      </rPr>
      <t xml:space="preserve">) and this will stick with you till the end of the course.
So if (as an example) my course ID was </t>
    </r>
    <r>
      <rPr>
        <b/>
        <sz val="14"/>
        <color rgb="FFFF0000"/>
        <rFont val="Times New Roman"/>
        <family val="1"/>
      </rPr>
      <t>253</t>
    </r>
    <r>
      <rPr>
        <b/>
        <sz val="14"/>
        <color theme="1"/>
        <rFont val="Times New Roman"/>
        <family val="1"/>
      </rPr>
      <t xml:space="preserve">, I'd save the file name as </t>
    </r>
    <r>
      <rPr>
        <b/>
        <sz val="14"/>
        <color rgb="FFFF0000"/>
        <rFont val="Times New Roman"/>
        <family val="1"/>
      </rPr>
      <t>"MAT210 - A1 - Hossein Khatami - 253"</t>
    </r>
    <r>
      <rPr>
        <b/>
        <sz val="14"/>
        <color theme="1"/>
        <rFont val="Times New Roman"/>
        <family val="1"/>
      </rPr>
      <t xml:space="preserve">.
So here is how things will work for this assignment:
- As we go through the course, and if there are further questions to add, I will post the related questions under mycourses and will inform you of it in class and via an announcement. These questions will be added under the sheet </t>
    </r>
    <r>
      <rPr>
        <b/>
        <sz val="14"/>
        <color rgb="FFFF0000"/>
        <rFont val="Times New Roman"/>
        <family val="1"/>
      </rPr>
      <t>"List of Questions"</t>
    </r>
    <r>
      <rPr>
        <b/>
        <sz val="14"/>
        <color theme="1"/>
        <rFont val="Times New Roman"/>
        <family val="1"/>
      </rPr>
      <t xml:space="preserve">.
- You can already see the questions. As I said, I MIGHT </t>
    </r>
    <r>
      <rPr>
        <b/>
        <sz val="14"/>
        <color rgb="FFFF0000"/>
        <rFont val="Times New Roman"/>
        <family val="1"/>
      </rPr>
      <t>add the other questions</t>
    </r>
    <r>
      <rPr>
        <b/>
        <sz val="14"/>
        <color theme="1"/>
        <rFont val="Times New Roman"/>
        <family val="1"/>
      </rPr>
      <t xml:space="preserve">, but in that case I'll certainly let you know :)
- To start, go to the </t>
    </r>
    <r>
      <rPr>
        <b/>
        <sz val="14"/>
        <color rgb="FFFF0000"/>
        <rFont val="Times New Roman"/>
        <family val="1"/>
      </rPr>
      <t>"List of Questions"</t>
    </r>
    <r>
      <rPr>
        <b/>
        <sz val="14"/>
        <color theme="1"/>
        <rFont val="Times New Roman"/>
        <family val="1"/>
      </rPr>
      <t xml:space="preserve"> sheet and </t>
    </r>
    <r>
      <rPr>
        <b/>
        <sz val="14"/>
        <color rgb="FFFF0000"/>
        <rFont val="Times New Roman"/>
        <family val="1"/>
      </rPr>
      <t>ENTER YOUR COURSE ID</t>
    </r>
    <r>
      <rPr>
        <b/>
        <sz val="14"/>
        <color theme="1"/>
        <rFont val="Times New Roman"/>
        <family val="1"/>
      </rPr>
      <t xml:space="preserve"> (I've put </t>
    </r>
    <r>
      <rPr>
        <b/>
        <sz val="14"/>
        <color rgb="FFFF0000"/>
        <rFont val="Times New Roman"/>
        <family val="1"/>
      </rPr>
      <t>253</t>
    </r>
    <r>
      <rPr>
        <b/>
        <sz val="14"/>
        <color theme="1"/>
        <rFont val="Times New Roman"/>
        <family val="1"/>
      </rPr>
      <t xml:space="preserve"> as an example but </t>
    </r>
    <r>
      <rPr>
        <b/>
        <sz val="14"/>
        <color rgb="FFFF0000"/>
        <rFont val="Times New Roman"/>
        <family val="1"/>
      </rPr>
      <t>you need to change it</t>
    </r>
    <r>
      <rPr>
        <b/>
        <sz val="14"/>
        <color theme="1"/>
        <rFont val="Times New Roman"/>
        <family val="1"/>
      </rPr>
      <t xml:space="preserve">) at the very top of this sheet as instructed. This will </t>
    </r>
    <r>
      <rPr>
        <b/>
        <sz val="14"/>
        <color rgb="FFFF0000"/>
        <rFont val="Times New Roman"/>
        <family val="1"/>
      </rPr>
      <t>change</t>
    </r>
    <r>
      <rPr>
        <b/>
        <sz val="14"/>
        <color theme="1"/>
        <rFont val="Times New Roman"/>
        <family val="1"/>
      </rPr>
      <t xml:space="preserve"> the numbers in the assignment questions, creating a </t>
    </r>
    <r>
      <rPr>
        <b/>
        <sz val="14"/>
        <color rgb="FFFF0000"/>
        <rFont val="Times New Roman"/>
        <family val="1"/>
      </rPr>
      <t>unique assignment for you</t>
    </r>
    <r>
      <rPr>
        <b/>
        <sz val="14"/>
        <color theme="1"/>
        <rFont val="Times New Roman"/>
        <family val="1"/>
      </rPr>
      <t xml:space="preserve">! :)
- Yes you're right! Each of you are receiving </t>
    </r>
    <r>
      <rPr>
        <b/>
        <sz val="14"/>
        <color rgb="FFFF0000"/>
        <rFont val="Times New Roman"/>
        <family val="1"/>
      </rPr>
      <t>your own set of questions</t>
    </r>
    <r>
      <rPr>
        <b/>
        <sz val="14"/>
        <color theme="1"/>
        <rFont val="Times New Roman"/>
        <family val="1"/>
      </rPr>
      <t xml:space="preserve">, </t>
    </r>
    <r>
      <rPr>
        <b/>
        <sz val="14"/>
        <color rgb="FFFF0000"/>
        <rFont val="Times New Roman"/>
        <family val="1"/>
      </rPr>
      <t>similar in form</t>
    </r>
    <r>
      <rPr>
        <b/>
        <sz val="14"/>
        <color theme="1"/>
        <rFont val="Times New Roman"/>
        <family val="1"/>
      </rPr>
      <t xml:space="preserve"> to what others have, but </t>
    </r>
    <r>
      <rPr>
        <b/>
        <sz val="14"/>
        <color rgb="FFFF0000"/>
        <rFont val="Times New Roman"/>
        <family val="1"/>
      </rPr>
      <t>different in content</t>
    </r>
    <r>
      <rPr>
        <b/>
        <sz val="14"/>
        <color theme="1"/>
        <rFont val="Times New Roman"/>
        <family val="1"/>
      </rPr>
      <t xml:space="preserve"> and therefore, with </t>
    </r>
    <r>
      <rPr>
        <b/>
        <sz val="14"/>
        <color rgb="FFFF0000"/>
        <rFont val="Times New Roman"/>
        <family val="1"/>
      </rPr>
      <t>different right answers</t>
    </r>
    <r>
      <rPr>
        <b/>
        <sz val="14"/>
        <color theme="1"/>
        <rFont val="Times New Roman"/>
        <family val="1"/>
      </rPr>
      <t xml:space="preserve">!
- To help you further in some occasions, I've created a </t>
    </r>
    <r>
      <rPr>
        <b/>
        <sz val="14"/>
        <color rgb="FFFF0000"/>
        <rFont val="Times New Roman"/>
        <family val="1"/>
      </rPr>
      <t>"Hints"</t>
    </r>
    <r>
      <rPr>
        <b/>
        <sz val="14"/>
        <color theme="1"/>
        <rFont val="Times New Roman"/>
        <family val="1"/>
      </rPr>
      <t xml:space="preserve"> sheet too, in which I might occasionally give you some hints to make tackling the assignments easier for you.
- Remember! You need to </t>
    </r>
    <r>
      <rPr>
        <b/>
        <sz val="14"/>
        <color rgb="FFFF0000"/>
        <rFont val="Times New Roman"/>
        <family val="1"/>
      </rPr>
      <t xml:space="preserve">answer each question in a separate sheet </t>
    </r>
    <r>
      <rPr>
        <b/>
        <sz val="14"/>
        <color theme="1"/>
        <rFont val="Times New Roman"/>
        <family val="1"/>
      </rPr>
      <t>in the</t>
    </r>
    <r>
      <rPr>
        <b/>
        <sz val="14"/>
        <color rgb="FFFF0000"/>
        <rFont val="Times New Roman"/>
        <family val="1"/>
      </rPr>
      <t xml:space="preserve"> "MAT210 - A1 - YOUR NAME - YOUR COURSE ID"</t>
    </r>
    <r>
      <rPr>
        <b/>
        <sz val="14"/>
        <color theme="1"/>
        <rFont val="Times New Roman"/>
        <family val="1"/>
      </rPr>
      <t xml:space="preserve"> file you created a few minutes ago. I've created the first 5 empty sheets for you to provide your answers, but as we go on, you can </t>
    </r>
    <r>
      <rPr>
        <b/>
        <sz val="14"/>
        <color rgb="FFFF0000"/>
        <rFont val="Times New Roman"/>
        <family val="1"/>
      </rPr>
      <t>create more sheets</t>
    </r>
    <r>
      <rPr>
        <b/>
        <sz val="14"/>
        <color theme="1"/>
        <rFont val="Times New Roman"/>
        <family val="1"/>
      </rPr>
      <t xml:space="preserve"> (</t>
    </r>
    <r>
      <rPr>
        <b/>
        <sz val="14"/>
        <color rgb="FFFF0000"/>
        <rFont val="Times New Roman"/>
        <family val="1"/>
      </rPr>
      <t>each for one question to come</t>
    </r>
    <r>
      <rPr>
        <b/>
        <sz val="14"/>
        <color theme="1"/>
        <rFont val="Times New Roman"/>
        <family val="1"/>
      </rPr>
      <t xml:space="preserve">) and include your answers.
- </t>
    </r>
    <r>
      <rPr>
        <b/>
        <sz val="14"/>
        <color rgb="FFFF0000"/>
        <rFont val="Times New Roman"/>
        <family val="1"/>
      </rPr>
      <t>Don't submit</t>
    </r>
    <r>
      <rPr>
        <b/>
        <sz val="14"/>
        <color theme="1"/>
        <rFont val="Times New Roman"/>
        <family val="1"/>
      </rPr>
      <t xml:space="preserve"> anything until all the questions are answered (and wait till the deadline). You'll make </t>
    </r>
    <r>
      <rPr>
        <b/>
        <sz val="14"/>
        <color rgb="FFFF0000"/>
        <rFont val="Times New Roman"/>
        <family val="1"/>
      </rPr>
      <t>one submission</t>
    </r>
    <r>
      <rPr>
        <b/>
        <sz val="14"/>
        <color theme="1"/>
        <rFont val="Times New Roman"/>
        <family val="1"/>
      </rPr>
      <t xml:space="preserve">, </t>
    </r>
    <r>
      <rPr>
        <b/>
        <sz val="14"/>
        <color rgb="FFFF0000"/>
        <rFont val="Times New Roman"/>
        <family val="1"/>
      </rPr>
      <t>everything together in that excel file</t>
    </r>
    <r>
      <rPr>
        <b/>
        <sz val="14"/>
        <color theme="1"/>
        <rFont val="Times New Roman"/>
        <family val="1"/>
      </rPr>
      <t xml:space="preserve">, when the time comes (i.e. before the deadline!).
- </t>
    </r>
    <r>
      <rPr>
        <b/>
        <sz val="14"/>
        <color rgb="FFFF0000"/>
        <rFont val="Times New Roman"/>
        <family val="1"/>
      </rPr>
      <t>Don't leave</t>
    </r>
    <r>
      <rPr>
        <b/>
        <sz val="14"/>
        <color theme="1"/>
        <rFont val="Times New Roman"/>
        <family val="1"/>
      </rPr>
      <t xml:space="preserve"> these questions for later! Try them</t>
    </r>
    <r>
      <rPr>
        <b/>
        <sz val="14"/>
        <color rgb="FFFF0000"/>
        <rFont val="Times New Roman"/>
        <family val="1"/>
      </rPr>
      <t xml:space="preserve"> right after</t>
    </r>
    <r>
      <rPr>
        <b/>
        <sz val="14"/>
        <color theme="1"/>
        <rFont val="Times New Roman"/>
        <family val="1"/>
      </rPr>
      <t xml:space="preserve"> the relevant sessions. It will deepen your knowledge of the subject and will take less time as well.
Best of luck :)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</si>
</sst>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12" x14ac:knownFonts="1">
    <font>
      <sz val="12"/>
      <color theme="1"/>
      <name val="Calibri"/>
      <family val="2"/>
      <scheme val="minor"/>
    </font>
    <font>
      <b/>
      <sz val="12"/>
      <color theme="1"/>
      <name val="Times New Roman"/>
      <family val="1"/>
    </font>
    <font>
      <b/>
      <sz val="12"/>
      <color theme="4" tint="-0.249977111117893"/>
      <name val="Times New Roman"/>
      <family val="1"/>
    </font>
    <font>
      <b/>
      <sz val="14"/>
      <color theme="4" tint="-0.249977111117893"/>
      <name val="Times New Roman"/>
      <family val="1"/>
    </font>
    <font>
      <b/>
      <sz val="14"/>
      <color theme="1"/>
      <name val="Times New Roman"/>
      <family val="1"/>
    </font>
    <font>
      <b/>
      <sz val="14"/>
      <color rgb="FFFF0000"/>
      <name val="Times New Roman"/>
      <family val="1"/>
    </font>
    <font>
      <sz val="12"/>
      <color theme="1"/>
      <name val="Times New Roman"/>
      <family val="1"/>
    </font>
    <font>
      <b/>
      <sz val="16"/>
      <color theme="1"/>
      <name val="Times New Roman"/>
      <family val="1"/>
    </font>
    <font>
      <sz val="14"/>
      <color theme="1"/>
      <name val="Times New Roman"/>
      <family val="1"/>
    </font>
    <font>
      <b/>
      <sz val="20"/>
      <color rgb="FFFF0000"/>
      <name val="Times New Roman"/>
      <family val="1"/>
    </font>
    <font>
      <b/>
      <sz val="14"/>
      <color theme="4"/>
      <name val="Times New Roman"/>
      <family val="1"/>
    </font>
    <font>
      <b/>
      <sz val="14"/>
      <color rgb="FF000000"/>
      <name val="Times New Roman"/>
      <family val="1"/>
    </font>
  </fonts>
  <fills count="7">
    <fill>
      <patternFill patternType="none"/>
    </fill>
    <fill>
      <patternFill patternType="gray125"/>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rgb="FFDDEBF7"/>
        <bgColor rgb="FF000000"/>
      </patternFill>
    </fill>
  </fills>
  <borders count="16">
    <border>
      <left/>
      <right/>
      <top/>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double">
        <color indexed="64"/>
      </bottom>
      <diagonal/>
    </border>
  </borders>
  <cellStyleXfs count="1">
    <xf numFmtId="0" fontId="0" fillId="0" borderId="0"/>
  </cellStyleXfs>
  <cellXfs count="85">
    <xf numFmtId="0" fontId="0" fillId="0" borderId="0" xfId="0"/>
    <xf numFmtId="0" fontId="0" fillId="0" borderId="0" xfId="0" applyAlignment="1">
      <alignment vertical="center"/>
    </xf>
    <xf numFmtId="0" fontId="6" fillId="0" borderId="0" xfId="0" applyFont="1" applyAlignment="1">
      <alignment vertical="center"/>
    </xf>
    <xf numFmtId="0" fontId="8" fillId="2" borderId="0" xfId="0" applyFont="1" applyFill="1" applyAlignment="1">
      <alignment vertical="center"/>
    </xf>
    <xf numFmtId="49" fontId="8" fillId="2" borderId="0" xfId="0" applyNumberFormat="1" applyFont="1" applyFill="1" applyAlignment="1">
      <alignment vertical="center"/>
    </xf>
    <xf numFmtId="0" fontId="8" fillId="2" borderId="0" xfId="0" applyFont="1" applyFill="1" applyAlignment="1">
      <alignment horizontal="center" vertical="center"/>
    </xf>
    <xf numFmtId="3" fontId="8" fillId="2" borderId="0" xfId="0" applyNumberFormat="1" applyFont="1" applyFill="1" applyAlignment="1">
      <alignment vertical="center"/>
    </xf>
    <xf numFmtId="0" fontId="4" fillId="2" borderId="0" xfId="0" applyFont="1" applyFill="1" applyAlignment="1">
      <alignment vertical="center"/>
    </xf>
    <xf numFmtId="0" fontId="7" fillId="2" borderId="0" xfId="0" applyFont="1" applyFill="1" applyAlignment="1">
      <alignment vertical="center"/>
    </xf>
    <xf numFmtId="0" fontId="7" fillId="3" borderId="0" xfId="0" applyFont="1" applyFill="1" applyAlignment="1">
      <alignment vertical="center"/>
    </xf>
    <xf numFmtId="0" fontId="8" fillId="3" borderId="0" xfId="0" applyFont="1" applyFill="1" applyAlignment="1">
      <alignment vertical="center"/>
    </xf>
    <xf numFmtId="0" fontId="6" fillId="2" borderId="0" xfId="0" applyFont="1" applyFill="1" applyAlignment="1">
      <alignment vertical="center"/>
    </xf>
    <xf numFmtId="0" fontId="6" fillId="3" borderId="0" xfId="0" applyFont="1" applyFill="1" applyAlignment="1">
      <alignment vertical="center"/>
    </xf>
    <xf numFmtId="0" fontId="8" fillId="2" borderId="0" xfId="0" applyFont="1" applyFill="1" applyAlignment="1">
      <alignment horizontal="left" vertical="center"/>
    </xf>
    <xf numFmtId="0" fontId="4" fillId="5" borderId="0" xfId="0" applyFont="1" applyFill="1" applyAlignment="1">
      <alignment vertical="center"/>
    </xf>
    <xf numFmtId="0" fontId="4" fillId="5" borderId="1" xfId="0" applyFont="1" applyFill="1" applyBorder="1" applyAlignment="1">
      <alignment horizontal="center" vertical="center"/>
    </xf>
    <xf numFmtId="0" fontId="6" fillId="5" borderId="0" xfId="0" applyFont="1" applyFill="1" applyAlignment="1">
      <alignment vertical="center"/>
    </xf>
    <xf numFmtId="0" fontId="4" fillId="3" borderId="0" xfId="0" applyFont="1" applyFill="1" applyAlignment="1">
      <alignment vertical="center"/>
    </xf>
    <xf numFmtId="0" fontId="8" fillId="5" borderId="0" xfId="0" applyFont="1" applyFill="1" applyAlignment="1">
      <alignment vertical="center"/>
    </xf>
    <xf numFmtId="0" fontId="0" fillId="5" borderId="0" xfId="0" applyFill="1" applyAlignment="1">
      <alignment vertical="center"/>
    </xf>
    <xf numFmtId="0" fontId="1" fillId="5" borderId="0" xfId="0" applyFont="1" applyFill="1" applyAlignment="1">
      <alignment horizontal="left" vertical="center"/>
    </xf>
    <xf numFmtId="0" fontId="2" fillId="5" borderId="0" xfId="0" applyFont="1" applyFill="1" applyAlignment="1">
      <alignment vertical="center"/>
    </xf>
    <xf numFmtId="0" fontId="2" fillId="5" borderId="0" xfId="0" applyFont="1" applyFill="1" applyAlignment="1">
      <alignment horizontal="center" vertical="center"/>
    </xf>
    <xf numFmtId="0" fontId="1" fillId="5" borderId="0" xfId="0" applyFont="1" applyFill="1" applyAlignment="1">
      <alignment vertical="center"/>
    </xf>
    <xf numFmtId="20" fontId="1" fillId="5" borderId="0" xfId="0" applyNumberFormat="1" applyFont="1" applyFill="1" applyAlignment="1">
      <alignment vertical="center"/>
    </xf>
    <xf numFmtId="21" fontId="1" fillId="5" borderId="0" xfId="0" applyNumberFormat="1" applyFont="1" applyFill="1" applyAlignment="1">
      <alignment vertical="center"/>
    </xf>
    <xf numFmtId="20" fontId="0" fillId="5" borderId="0" xfId="0" applyNumberFormat="1" applyFill="1" applyAlignment="1">
      <alignment vertical="center"/>
    </xf>
    <xf numFmtId="0" fontId="1" fillId="4" borderId="0" xfId="0" applyFont="1" applyFill="1" applyAlignment="1">
      <alignment horizontal="left" vertical="center"/>
    </xf>
    <xf numFmtId="0" fontId="1" fillId="4" borderId="0" xfId="0" applyFont="1" applyFill="1" applyAlignment="1">
      <alignment vertical="center"/>
    </xf>
    <xf numFmtId="0" fontId="4" fillId="2" borderId="0" xfId="0" applyFont="1" applyFill="1" applyAlignment="1">
      <alignment horizontal="left" vertical="center" wrapText="1"/>
    </xf>
    <xf numFmtId="0" fontId="4" fillId="2" borderId="0" xfId="0" applyFont="1" applyFill="1" applyAlignment="1">
      <alignment horizontal="left" vertical="center"/>
    </xf>
    <xf numFmtId="46" fontId="1" fillId="5" borderId="0" xfId="0" applyNumberFormat="1" applyFont="1" applyFill="1" applyAlignment="1">
      <alignment vertical="center"/>
    </xf>
    <xf numFmtId="0" fontId="4" fillId="2" borderId="0" xfId="0" applyFont="1" applyFill="1" applyAlignment="1">
      <alignment vertical="center" wrapText="1"/>
    </xf>
    <xf numFmtId="0" fontId="4" fillId="2" borderId="0" xfId="0" applyFont="1" applyFill="1" applyAlignment="1">
      <alignment horizontal="center" vertical="center"/>
    </xf>
    <xf numFmtId="3" fontId="4" fillId="2" borderId="0" xfId="0" applyNumberFormat="1" applyFont="1" applyFill="1" applyAlignment="1">
      <alignment horizontal="center" vertical="center"/>
    </xf>
    <xf numFmtId="0" fontId="10" fillId="2" borderId="2" xfId="0" applyFont="1" applyFill="1" applyBorder="1" applyAlignment="1">
      <alignment horizontal="left" vertical="center"/>
    </xf>
    <xf numFmtId="0" fontId="4" fillId="2" borderId="2" xfId="0" applyFont="1" applyFill="1" applyBorder="1" applyAlignment="1">
      <alignment horizontal="center" vertical="center"/>
    </xf>
    <xf numFmtId="3" fontId="4" fillId="2" borderId="2" xfId="0" applyNumberFormat="1" applyFont="1" applyFill="1" applyBorder="1" applyAlignment="1">
      <alignment horizontal="center" vertical="center"/>
    </xf>
    <xf numFmtId="0" fontId="8" fillId="2" borderId="2" xfId="0" applyFont="1" applyFill="1" applyBorder="1" applyAlignment="1">
      <alignment vertical="center"/>
    </xf>
    <xf numFmtId="3" fontId="8" fillId="2" borderId="2" xfId="0" applyNumberFormat="1" applyFont="1" applyFill="1" applyBorder="1" applyAlignment="1">
      <alignment vertical="center"/>
    </xf>
    <xf numFmtId="0" fontId="4" fillId="2" borderId="0" xfId="0" applyFont="1" applyFill="1" applyAlignment="1">
      <alignment horizontal="right" vertical="center"/>
    </xf>
    <xf numFmtId="3" fontId="4" fillId="2" borderId="0" xfId="0" applyNumberFormat="1" applyFont="1" applyFill="1" applyAlignment="1">
      <alignment horizontal="right" vertical="center"/>
    </xf>
    <xf numFmtId="0" fontId="4" fillId="3" borderId="0" xfId="0" applyFont="1" applyFill="1" applyAlignment="1">
      <alignment vertical="center" wrapText="1"/>
    </xf>
    <xf numFmtId="0" fontId="4" fillId="3" borderId="0" xfId="0" applyFont="1" applyFill="1" applyAlignment="1">
      <alignment horizontal="right" vertical="center"/>
    </xf>
    <xf numFmtId="0" fontId="4" fillId="2" borderId="4" xfId="0" applyFont="1" applyFill="1" applyBorder="1" applyAlignment="1">
      <alignment horizontal="left" vertical="center"/>
    </xf>
    <xf numFmtId="0" fontId="4" fillId="2" borderId="3" xfId="0" applyFont="1" applyFill="1" applyBorder="1" applyAlignment="1">
      <alignment horizontal="right" vertical="center"/>
    </xf>
    <xf numFmtId="0" fontId="4" fillId="2" borderId="5" xfId="0" applyFont="1" applyFill="1" applyBorder="1" applyAlignment="1">
      <alignment horizontal="left" vertical="center"/>
    </xf>
    <xf numFmtId="0" fontId="4" fillId="2" borderId="6" xfId="0" applyFont="1" applyFill="1" applyBorder="1" applyAlignment="1">
      <alignment horizontal="right" vertical="center"/>
    </xf>
    <xf numFmtId="0" fontId="4" fillId="2" borderId="7"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0" xfId="0" applyFont="1" applyFill="1" applyAlignment="1">
      <alignment horizontal="center" vertical="center" wrapText="1"/>
    </xf>
    <xf numFmtId="0" fontId="6" fillId="2" borderId="0" xfId="0" applyFont="1" applyFill="1" applyAlignment="1">
      <alignment horizontal="center" vertical="center"/>
    </xf>
    <xf numFmtId="0" fontId="6" fillId="5" borderId="0" xfId="0" applyFont="1" applyFill="1" applyAlignment="1">
      <alignment horizontal="center" vertical="center"/>
    </xf>
    <xf numFmtId="0" fontId="6" fillId="0" borderId="0" xfId="0" applyFont="1" applyAlignment="1">
      <alignment horizontal="center" vertical="center"/>
    </xf>
    <xf numFmtId="0" fontId="4" fillId="2" borderId="9" xfId="0" applyFont="1" applyFill="1" applyBorder="1" applyAlignment="1">
      <alignment vertical="center" wrapText="1"/>
    </xf>
    <xf numFmtId="0" fontId="4" fillId="2" borderId="10" xfId="0" applyFont="1" applyFill="1" applyBorder="1" applyAlignment="1">
      <alignment horizontal="center" vertical="center" wrapText="1"/>
    </xf>
    <xf numFmtId="0" fontId="4" fillId="2" borderId="11" xfId="0" applyFont="1" applyFill="1" applyBorder="1" applyAlignment="1">
      <alignment vertical="center" wrapText="1"/>
    </xf>
    <xf numFmtId="0" fontId="4" fillId="2" borderId="12" xfId="0" applyFont="1" applyFill="1" applyBorder="1" applyAlignment="1">
      <alignment horizontal="center" vertical="center" wrapText="1"/>
    </xf>
    <xf numFmtId="0" fontId="4" fillId="2" borderId="13" xfId="0" applyFont="1" applyFill="1" applyBorder="1" applyAlignment="1">
      <alignment vertical="center" wrapText="1"/>
    </xf>
    <xf numFmtId="0" fontId="4" fillId="2" borderId="14" xfId="0" applyFont="1" applyFill="1" applyBorder="1" applyAlignment="1">
      <alignment horizontal="center" vertical="center" wrapText="1"/>
    </xf>
    <xf numFmtId="49" fontId="4" fillId="2" borderId="0" xfId="0" applyNumberFormat="1" applyFont="1" applyFill="1" applyAlignment="1">
      <alignment horizontal="center" vertical="center" wrapText="1"/>
    </xf>
    <xf numFmtId="0" fontId="4" fillId="2" borderId="2"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0" xfId="0" applyFont="1" applyFill="1" applyBorder="1" applyAlignment="1">
      <alignment vertical="center" wrapText="1"/>
    </xf>
    <xf numFmtId="2" fontId="4" fillId="2" borderId="0" xfId="0" applyNumberFormat="1" applyFont="1" applyFill="1" applyAlignment="1">
      <alignment horizontal="left" vertical="center" wrapText="1"/>
    </xf>
    <xf numFmtId="2" fontId="4" fillId="2" borderId="15" xfId="0" applyNumberFormat="1" applyFont="1" applyFill="1" applyBorder="1" applyAlignment="1">
      <alignment horizontal="center" vertical="center" wrapText="1"/>
    </xf>
    <xf numFmtId="0" fontId="4" fillId="2" borderId="0" xfId="0" applyFont="1" applyFill="1" applyAlignment="1">
      <alignment horizontal="left" vertical="center" wrapText="1"/>
    </xf>
    <xf numFmtId="0" fontId="4" fillId="2" borderId="0" xfId="0" applyFont="1" applyFill="1" applyAlignment="1">
      <alignment horizontal="center" vertical="center" wrapText="1"/>
    </xf>
    <xf numFmtId="164" fontId="4" fillId="2" borderId="0" xfId="0" applyNumberFormat="1" applyFont="1" applyFill="1" applyAlignment="1">
      <alignment horizontal="center" vertical="center" wrapText="1"/>
    </xf>
    <xf numFmtId="165" fontId="4" fillId="2" borderId="0" xfId="0" applyNumberFormat="1" applyFont="1" applyFill="1" applyAlignment="1">
      <alignment horizontal="center" vertical="center" wrapText="1"/>
    </xf>
    <xf numFmtId="0" fontId="9" fillId="4" borderId="0" xfId="0" applyFont="1" applyFill="1" applyAlignment="1">
      <alignment horizontal="left" vertical="center"/>
    </xf>
    <xf numFmtId="0" fontId="3" fillId="5" borderId="0" xfId="0" applyFont="1" applyFill="1" applyAlignment="1">
      <alignment horizontal="center" vertical="center"/>
    </xf>
    <xf numFmtId="0" fontId="4" fillId="5" borderId="0" xfId="0" applyFont="1" applyFill="1" applyAlignment="1">
      <alignment horizontal="left" vertical="center" wrapText="1"/>
    </xf>
    <xf numFmtId="0" fontId="4" fillId="2" borderId="0" xfId="0" applyFont="1" applyFill="1" applyAlignment="1">
      <alignment horizontal="left" vertical="center" wrapText="1"/>
    </xf>
    <xf numFmtId="0" fontId="7" fillId="2" borderId="0" xfId="0" applyFont="1" applyFill="1" applyAlignment="1">
      <alignment horizontal="left" vertical="center"/>
    </xf>
    <xf numFmtId="0" fontId="4" fillId="2" borderId="0" xfId="0" applyFont="1" applyFill="1" applyAlignment="1">
      <alignment horizontal="center" vertical="center"/>
    </xf>
    <xf numFmtId="0" fontId="4" fillId="2" borderId="0" xfId="0" applyFont="1" applyFill="1" applyBorder="1" applyAlignment="1">
      <alignment horizontal="left" vertical="center" wrapText="1"/>
    </xf>
    <xf numFmtId="0" fontId="4" fillId="2" borderId="0" xfId="0" applyFont="1" applyFill="1" applyAlignment="1">
      <alignment horizontal="center" vertical="center" wrapText="1"/>
    </xf>
    <xf numFmtId="2" fontId="4" fillId="2" borderId="0" xfId="0" applyNumberFormat="1" applyFont="1" applyFill="1" applyAlignment="1">
      <alignment horizontal="left" vertical="center" wrapText="1"/>
    </xf>
    <xf numFmtId="0" fontId="5" fillId="5" borderId="0" xfId="0" applyFont="1" applyFill="1" applyAlignment="1">
      <alignment horizontal="left" vertical="center"/>
    </xf>
    <xf numFmtId="0" fontId="4" fillId="2" borderId="0" xfId="0" applyFont="1" applyFill="1" applyAlignment="1">
      <alignment horizontal="left" vertical="center"/>
    </xf>
    <xf numFmtId="0" fontId="10" fillId="2" borderId="2" xfId="0" applyFont="1" applyFill="1" applyBorder="1" applyAlignment="1">
      <alignment horizontal="center" vertical="center"/>
    </xf>
    <xf numFmtId="0" fontId="7" fillId="2" borderId="0" xfId="0" applyFont="1" applyFill="1" applyAlignment="1">
      <alignment horizontal="center" vertical="center" wrapText="1"/>
    </xf>
    <xf numFmtId="0" fontId="11" fillId="6" borderId="0" xfId="0" applyFont="1" applyFill="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FD1AD-EBBA-B04B-AF97-47098D05CFE5}">
  <dimension ref="A1:G345"/>
  <sheetViews>
    <sheetView topLeftCell="A61" workbookViewId="0">
      <selection activeCell="H30" sqref="H30"/>
    </sheetView>
  </sheetViews>
  <sheetFormatPr baseColWidth="10" defaultRowHeight="16" x14ac:dyDescent="0.2"/>
  <cols>
    <col min="1" max="1" width="52.1640625" style="1" bestFit="1" customWidth="1"/>
    <col min="2" max="2" width="18.33203125" style="1" customWidth="1"/>
    <col min="3" max="3" width="10.83203125" style="1"/>
    <col min="4" max="4" width="33.33203125" style="1" bestFit="1" customWidth="1"/>
    <col min="5" max="5" width="18.33203125" style="1" customWidth="1"/>
    <col min="6" max="6" width="10.83203125" style="1"/>
    <col min="7" max="7" width="30.83203125" style="1" bestFit="1" customWidth="1"/>
    <col min="8" max="8" width="18.33203125" style="1" customWidth="1"/>
    <col min="9" max="16384" width="10.83203125" style="1"/>
  </cols>
  <sheetData>
    <row r="1" spans="1:1" s="19" customFormat="1" x14ac:dyDescent="0.2"/>
    <row r="2" spans="1:1" s="71" customFormat="1" ht="25" x14ac:dyDescent="0.2">
      <c r="A2" s="71" t="s">
        <v>0</v>
      </c>
    </row>
    <row r="3" spans="1:1" s="73" customFormat="1" ht="16" customHeight="1" x14ac:dyDescent="0.2">
      <c r="A3" s="73" t="s">
        <v>253</v>
      </c>
    </row>
    <row r="4" spans="1:1" s="73" customFormat="1" ht="16" customHeight="1" x14ac:dyDescent="0.2"/>
    <row r="5" spans="1:1" s="73" customFormat="1" ht="16" customHeight="1" x14ac:dyDescent="0.2"/>
    <row r="6" spans="1:1" s="73" customFormat="1" ht="16" customHeight="1" x14ac:dyDescent="0.2"/>
    <row r="7" spans="1:1" s="73" customFormat="1" ht="16" customHeight="1" x14ac:dyDescent="0.2"/>
    <row r="8" spans="1:1" s="73" customFormat="1" ht="16" customHeight="1" x14ac:dyDescent="0.2"/>
    <row r="9" spans="1:1" s="73" customFormat="1" ht="16" customHeight="1" x14ac:dyDescent="0.2"/>
    <row r="10" spans="1:1" s="73" customFormat="1" ht="16" customHeight="1" x14ac:dyDescent="0.2"/>
    <row r="11" spans="1:1" s="73" customFormat="1" ht="16" customHeight="1" x14ac:dyDescent="0.2"/>
    <row r="12" spans="1:1" s="73" customFormat="1" ht="16" customHeight="1" x14ac:dyDescent="0.2"/>
    <row r="13" spans="1:1" s="73" customFormat="1" ht="16" customHeight="1" x14ac:dyDescent="0.2"/>
    <row r="14" spans="1:1" s="73" customFormat="1" ht="16" customHeight="1" x14ac:dyDescent="0.2"/>
    <row r="15" spans="1:1" s="73" customFormat="1" ht="16" customHeight="1" x14ac:dyDescent="0.2"/>
    <row r="16" spans="1:1" s="73" customFormat="1" ht="16" customHeight="1" x14ac:dyDescent="0.2"/>
    <row r="17" spans="1:5" s="73" customFormat="1" ht="16" customHeight="1" x14ac:dyDescent="0.2"/>
    <row r="18" spans="1:5" s="73" customFormat="1" ht="16" customHeight="1" x14ac:dyDescent="0.2"/>
    <row r="19" spans="1:5" s="73" customFormat="1" ht="16" customHeight="1" x14ac:dyDescent="0.2"/>
    <row r="20" spans="1:5" s="73" customFormat="1" ht="16" customHeight="1" x14ac:dyDescent="0.2"/>
    <row r="21" spans="1:5" s="73" customFormat="1" ht="16" customHeight="1" x14ac:dyDescent="0.2"/>
    <row r="22" spans="1:5" s="73" customFormat="1" ht="16" customHeight="1" x14ac:dyDescent="0.2"/>
    <row r="23" spans="1:5" s="73" customFormat="1" ht="16" customHeight="1" x14ac:dyDescent="0.2"/>
    <row r="24" spans="1:5" s="73" customFormat="1" ht="18" customHeight="1" x14ac:dyDescent="0.2"/>
    <row r="25" spans="1:5" s="73" customFormat="1" ht="18" customHeight="1" x14ac:dyDescent="0.2"/>
    <row r="26" spans="1:5" s="73" customFormat="1" ht="18" customHeight="1" x14ac:dyDescent="0.2"/>
    <row r="27" spans="1:5" s="73" customFormat="1" ht="18" customHeight="1" x14ac:dyDescent="0.2"/>
    <row r="28" spans="1:5" s="27" customFormat="1" x14ac:dyDescent="0.2"/>
    <row r="29" spans="1:5" s="20" customFormat="1" x14ac:dyDescent="0.2"/>
    <row r="30" spans="1:5" s="14" customFormat="1" ht="18" x14ac:dyDescent="0.2">
      <c r="A30" s="72" t="s">
        <v>228</v>
      </c>
      <c r="B30" s="72"/>
      <c r="D30" s="72" t="s">
        <v>229</v>
      </c>
      <c r="E30" s="72"/>
    </row>
    <row r="31" spans="1:5" s="23" customFormat="1" x14ac:dyDescent="0.2">
      <c r="A31" s="21" t="s">
        <v>1</v>
      </c>
      <c r="B31" s="22" t="s">
        <v>5</v>
      </c>
      <c r="D31" s="21" t="s">
        <v>1</v>
      </c>
      <c r="E31" s="22" t="s">
        <v>5</v>
      </c>
    </row>
    <row r="32" spans="1:5" s="23" customFormat="1" x14ac:dyDescent="0.2">
      <c r="A32" s="23" t="s">
        <v>193</v>
      </c>
      <c r="B32" s="23">
        <v>101</v>
      </c>
      <c r="D32" s="23" t="s">
        <v>230</v>
      </c>
      <c r="E32" s="23">
        <v>201</v>
      </c>
    </row>
    <row r="33" spans="1:5" s="23" customFormat="1" x14ac:dyDescent="0.2">
      <c r="A33" s="23" t="s">
        <v>194</v>
      </c>
      <c r="B33" s="23">
        <v>102</v>
      </c>
      <c r="D33" s="23" t="s">
        <v>231</v>
      </c>
      <c r="E33" s="23">
        <v>202</v>
      </c>
    </row>
    <row r="34" spans="1:5" s="23" customFormat="1" x14ac:dyDescent="0.2">
      <c r="A34" s="23" t="s">
        <v>195</v>
      </c>
      <c r="B34" s="23">
        <v>103</v>
      </c>
      <c r="D34" s="23" t="s">
        <v>232</v>
      </c>
      <c r="E34" s="23">
        <v>203</v>
      </c>
    </row>
    <row r="35" spans="1:5" s="23" customFormat="1" x14ac:dyDescent="0.2">
      <c r="A35" s="23" t="s">
        <v>196</v>
      </c>
      <c r="B35" s="23">
        <v>104</v>
      </c>
      <c r="D35" s="23" t="s">
        <v>233</v>
      </c>
      <c r="E35" s="23">
        <v>204</v>
      </c>
    </row>
    <row r="36" spans="1:5" s="23" customFormat="1" x14ac:dyDescent="0.2">
      <c r="A36" s="23" t="s">
        <v>197</v>
      </c>
      <c r="B36" s="23">
        <v>105</v>
      </c>
      <c r="D36" s="23" t="s">
        <v>234</v>
      </c>
      <c r="E36" s="23">
        <v>205</v>
      </c>
    </row>
    <row r="37" spans="1:5" s="23" customFormat="1" x14ac:dyDescent="0.2">
      <c r="A37" s="23" t="s">
        <v>198</v>
      </c>
      <c r="B37" s="23">
        <v>106</v>
      </c>
      <c r="D37" s="23" t="s">
        <v>235</v>
      </c>
      <c r="E37" s="23">
        <v>206</v>
      </c>
    </row>
    <row r="38" spans="1:5" s="23" customFormat="1" x14ac:dyDescent="0.2">
      <c r="A38" s="23" t="s">
        <v>199</v>
      </c>
      <c r="B38" s="23">
        <v>107</v>
      </c>
      <c r="D38" s="23" t="s">
        <v>236</v>
      </c>
      <c r="E38" s="23">
        <v>207</v>
      </c>
    </row>
    <row r="39" spans="1:5" s="23" customFormat="1" x14ac:dyDescent="0.2">
      <c r="A39" s="23" t="s">
        <v>200</v>
      </c>
      <c r="B39" s="23">
        <v>108</v>
      </c>
      <c r="D39" s="23" t="s">
        <v>237</v>
      </c>
      <c r="E39" s="23">
        <v>208</v>
      </c>
    </row>
    <row r="40" spans="1:5" s="23" customFormat="1" x14ac:dyDescent="0.2">
      <c r="A40" s="23" t="s">
        <v>201</v>
      </c>
      <c r="B40" s="23">
        <v>109</v>
      </c>
      <c r="D40" s="23" t="s">
        <v>238</v>
      </c>
      <c r="E40" s="23">
        <v>209</v>
      </c>
    </row>
    <row r="41" spans="1:5" s="23" customFormat="1" x14ac:dyDescent="0.2">
      <c r="A41" s="23" t="s">
        <v>202</v>
      </c>
      <c r="B41" s="23">
        <v>110</v>
      </c>
      <c r="D41" s="23" t="s">
        <v>239</v>
      </c>
      <c r="E41" s="23">
        <v>210</v>
      </c>
    </row>
    <row r="42" spans="1:5" s="23" customFormat="1" x14ac:dyDescent="0.2">
      <c r="A42" s="23" t="s">
        <v>203</v>
      </c>
      <c r="B42" s="23">
        <v>111</v>
      </c>
      <c r="D42" s="23" t="s">
        <v>240</v>
      </c>
      <c r="E42" s="23">
        <v>211</v>
      </c>
    </row>
    <row r="43" spans="1:5" s="23" customFormat="1" x14ac:dyDescent="0.2">
      <c r="A43" s="23" t="s">
        <v>204</v>
      </c>
      <c r="B43" s="23">
        <v>112</v>
      </c>
      <c r="D43" s="23" t="s">
        <v>241</v>
      </c>
      <c r="E43" s="23">
        <v>212</v>
      </c>
    </row>
    <row r="44" spans="1:5" s="23" customFormat="1" x14ac:dyDescent="0.2">
      <c r="A44" s="23" t="s">
        <v>205</v>
      </c>
      <c r="B44" s="23">
        <v>113</v>
      </c>
      <c r="D44" s="23" t="s">
        <v>242</v>
      </c>
      <c r="E44" s="23">
        <v>213</v>
      </c>
    </row>
    <row r="45" spans="1:5" s="23" customFormat="1" x14ac:dyDescent="0.2">
      <c r="A45" s="23" t="s">
        <v>206</v>
      </c>
      <c r="B45" s="23">
        <v>114</v>
      </c>
      <c r="D45" s="23" t="s">
        <v>243</v>
      </c>
      <c r="E45" s="23">
        <v>214</v>
      </c>
    </row>
    <row r="46" spans="1:5" s="23" customFormat="1" x14ac:dyDescent="0.2">
      <c r="A46" s="23" t="s">
        <v>207</v>
      </c>
      <c r="B46" s="23">
        <v>115</v>
      </c>
      <c r="D46" s="23" t="s">
        <v>244</v>
      </c>
      <c r="E46" s="23">
        <v>215</v>
      </c>
    </row>
    <row r="47" spans="1:5" s="23" customFormat="1" x14ac:dyDescent="0.2">
      <c r="A47" s="23" t="s">
        <v>208</v>
      </c>
      <c r="B47" s="23">
        <v>116</v>
      </c>
      <c r="D47" s="23" t="s">
        <v>245</v>
      </c>
      <c r="E47" s="23">
        <v>216</v>
      </c>
    </row>
    <row r="48" spans="1:5" s="23" customFormat="1" x14ac:dyDescent="0.2">
      <c r="A48" s="23" t="s">
        <v>209</v>
      </c>
      <c r="B48" s="23">
        <v>117</v>
      </c>
      <c r="D48" s="23" t="s">
        <v>246</v>
      </c>
      <c r="E48" s="23">
        <v>217</v>
      </c>
    </row>
    <row r="49" spans="1:5" s="23" customFormat="1" x14ac:dyDescent="0.2">
      <c r="A49" s="23" t="s">
        <v>210</v>
      </c>
      <c r="B49" s="23">
        <v>118</v>
      </c>
      <c r="D49" s="23" t="s">
        <v>247</v>
      </c>
      <c r="E49" s="23">
        <v>218</v>
      </c>
    </row>
    <row r="50" spans="1:5" s="23" customFormat="1" x14ac:dyDescent="0.2">
      <c r="A50" s="23" t="s">
        <v>211</v>
      </c>
      <c r="B50" s="23">
        <v>119</v>
      </c>
      <c r="D50" s="23" t="s">
        <v>248</v>
      </c>
      <c r="E50" s="23">
        <v>219</v>
      </c>
    </row>
    <row r="51" spans="1:5" s="23" customFormat="1" x14ac:dyDescent="0.2">
      <c r="A51" s="23" t="s">
        <v>212</v>
      </c>
      <c r="B51" s="23">
        <v>120</v>
      </c>
      <c r="D51" s="23" t="s">
        <v>249</v>
      </c>
      <c r="E51" s="23">
        <v>220</v>
      </c>
    </row>
    <row r="52" spans="1:5" s="23" customFormat="1" x14ac:dyDescent="0.2">
      <c r="A52" s="23" t="s">
        <v>213</v>
      </c>
      <c r="B52" s="23">
        <v>121</v>
      </c>
      <c r="D52" s="23" t="s">
        <v>250</v>
      </c>
      <c r="E52" s="23">
        <v>221</v>
      </c>
    </row>
    <row r="53" spans="1:5" s="23" customFormat="1" x14ac:dyDescent="0.2">
      <c r="A53" s="23" t="s">
        <v>214</v>
      </c>
      <c r="B53" s="23">
        <v>122</v>
      </c>
      <c r="D53" s="23" t="s">
        <v>251</v>
      </c>
      <c r="E53" s="23">
        <v>222</v>
      </c>
    </row>
    <row r="54" spans="1:5" s="23" customFormat="1" x14ac:dyDescent="0.2">
      <c r="A54" s="23" t="s">
        <v>215</v>
      </c>
      <c r="B54" s="23">
        <v>123</v>
      </c>
      <c r="D54" s="23" t="s">
        <v>252</v>
      </c>
      <c r="E54" s="23">
        <v>223</v>
      </c>
    </row>
    <row r="55" spans="1:5" s="23" customFormat="1" x14ac:dyDescent="0.2">
      <c r="A55" s="23" t="s">
        <v>216</v>
      </c>
      <c r="B55" s="23">
        <v>124</v>
      </c>
    </row>
    <row r="56" spans="1:5" s="23" customFormat="1" x14ac:dyDescent="0.2">
      <c r="A56" s="23" t="s">
        <v>217</v>
      </c>
      <c r="B56" s="23">
        <v>125</v>
      </c>
    </row>
    <row r="57" spans="1:5" s="23" customFormat="1" x14ac:dyDescent="0.2">
      <c r="A57" s="23" t="s">
        <v>218</v>
      </c>
      <c r="B57" s="23">
        <v>126</v>
      </c>
    </row>
    <row r="58" spans="1:5" s="23" customFormat="1" x14ac:dyDescent="0.2">
      <c r="A58" s="23" t="s">
        <v>219</v>
      </c>
      <c r="B58" s="23">
        <v>127</v>
      </c>
    </row>
    <row r="59" spans="1:5" s="23" customFormat="1" x14ac:dyDescent="0.2">
      <c r="A59" s="23" t="s">
        <v>220</v>
      </c>
      <c r="B59" s="23">
        <v>128</v>
      </c>
    </row>
    <row r="60" spans="1:5" s="23" customFormat="1" x14ac:dyDescent="0.2">
      <c r="A60" s="23" t="s">
        <v>221</v>
      </c>
      <c r="B60" s="23">
        <v>129</v>
      </c>
    </row>
    <row r="61" spans="1:5" s="23" customFormat="1" x14ac:dyDescent="0.2">
      <c r="A61" s="23" t="s">
        <v>222</v>
      </c>
      <c r="B61" s="23">
        <v>130</v>
      </c>
    </row>
    <row r="62" spans="1:5" s="23" customFormat="1" x14ac:dyDescent="0.2">
      <c r="A62" s="23" t="s">
        <v>6</v>
      </c>
      <c r="B62" s="23">
        <v>131</v>
      </c>
    </row>
    <row r="63" spans="1:5" s="23" customFormat="1" x14ac:dyDescent="0.2">
      <c r="A63" s="23" t="s">
        <v>223</v>
      </c>
      <c r="B63" s="23">
        <v>132</v>
      </c>
    </row>
    <row r="64" spans="1:5" s="23" customFormat="1" x14ac:dyDescent="0.2">
      <c r="A64" s="23" t="s">
        <v>224</v>
      </c>
      <c r="B64" s="23">
        <v>133</v>
      </c>
    </row>
    <row r="65" spans="1:2" s="23" customFormat="1" x14ac:dyDescent="0.2">
      <c r="A65" s="23" t="s">
        <v>225</v>
      </c>
      <c r="B65" s="23">
        <v>134</v>
      </c>
    </row>
    <row r="66" spans="1:2" s="23" customFormat="1" x14ac:dyDescent="0.2">
      <c r="A66" s="23" t="s">
        <v>226</v>
      </c>
      <c r="B66" s="23">
        <v>135</v>
      </c>
    </row>
    <row r="67" spans="1:2" s="23" customFormat="1" x14ac:dyDescent="0.2">
      <c r="A67" s="23" t="s">
        <v>227</v>
      </c>
      <c r="B67" s="23">
        <v>136</v>
      </c>
    </row>
    <row r="68" spans="1:2" s="23" customFormat="1" x14ac:dyDescent="0.2"/>
    <row r="69" spans="1:2" s="23" customFormat="1" x14ac:dyDescent="0.2"/>
    <row r="70" spans="1:2" s="23" customFormat="1" x14ac:dyDescent="0.2"/>
    <row r="71" spans="1:2" s="23" customFormat="1" x14ac:dyDescent="0.2"/>
    <row r="72" spans="1:2" s="23" customFormat="1" x14ac:dyDescent="0.2"/>
    <row r="73" spans="1:2" s="23" customFormat="1" x14ac:dyDescent="0.2"/>
    <row r="74" spans="1:2" s="23" customFormat="1" x14ac:dyDescent="0.2"/>
    <row r="75" spans="1:2" s="23" customFormat="1" x14ac:dyDescent="0.2"/>
    <row r="76" spans="1:2" s="23" customFormat="1" x14ac:dyDescent="0.2"/>
    <row r="77" spans="1:2" s="23" customFormat="1" x14ac:dyDescent="0.2"/>
    <row r="78" spans="1:2" s="23" customFormat="1" x14ac:dyDescent="0.2"/>
    <row r="79" spans="1:2" s="28" customFormat="1" x14ac:dyDescent="0.2"/>
    <row r="80" spans="1:2" s="23" customFormat="1" x14ac:dyDescent="0.2"/>
    <row r="81" spans="6:7" s="23" customFormat="1" x14ac:dyDescent="0.2"/>
    <row r="82" spans="6:7" s="23" customFormat="1" x14ac:dyDescent="0.2"/>
    <row r="83" spans="6:7" s="23" customFormat="1" x14ac:dyDescent="0.2"/>
    <row r="84" spans="6:7" s="23" customFormat="1" x14ac:dyDescent="0.2"/>
    <row r="85" spans="6:7" s="23" customFormat="1" x14ac:dyDescent="0.2"/>
    <row r="86" spans="6:7" s="23" customFormat="1" x14ac:dyDescent="0.2"/>
    <row r="87" spans="6:7" s="23" customFormat="1" x14ac:dyDescent="0.2"/>
    <row r="88" spans="6:7" s="23" customFormat="1" x14ac:dyDescent="0.2">
      <c r="G88" s="24"/>
    </row>
    <row r="89" spans="6:7" s="23" customFormat="1" x14ac:dyDescent="0.2"/>
    <row r="90" spans="6:7" s="23" customFormat="1" x14ac:dyDescent="0.2"/>
    <row r="91" spans="6:7" s="23" customFormat="1" x14ac:dyDescent="0.2">
      <c r="G91" s="24"/>
    </row>
    <row r="92" spans="6:7" s="23" customFormat="1" x14ac:dyDescent="0.2">
      <c r="F92" s="24"/>
    </row>
    <row r="93" spans="6:7" s="23" customFormat="1" x14ac:dyDescent="0.2"/>
    <row r="94" spans="6:7" s="23" customFormat="1" x14ac:dyDescent="0.2">
      <c r="F94" s="24"/>
    </row>
    <row r="95" spans="6:7" s="23" customFormat="1" x14ac:dyDescent="0.2">
      <c r="F95" s="24"/>
    </row>
    <row r="96" spans="6:7" s="23" customFormat="1" x14ac:dyDescent="0.2"/>
    <row r="97" spans="6:7" s="23" customFormat="1" x14ac:dyDescent="0.2"/>
    <row r="98" spans="6:7" s="23" customFormat="1" x14ac:dyDescent="0.2">
      <c r="F98" s="25"/>
      <c r="G98" s="25"/>
    </row>
    <row r="99" spans="6:7" s="23" customFormat="1" x14ac:dyDescent="0.2"/>
    <row r="100" spans="6:7" s="23" customFormat="1" x14ac:dyDescent="0.2">
      <c r="F100" s="24"/>
    </row>
    <row r="101" spans="6:7" s="23" customFormat="1" x14ac:dyDescent="0.2">
      <c r="G101" s="24"/>
    </row>
    <row r="102" spans="6:7" s="23" customFormat="1" x14ac:dyDescent="0.2"/>
    <row r="103" spans="6:7" s="23" customFormat="1" x14ac:dyDescent="0.2">
      <c r="F103" s="24"/>
      <c r="G103" s="31"/>
    </row>
    <row r="104" spans="6:7" s="23" customFormat="1" x14ac:dyDescent="0.2"/>
    <row r="105" spans="6:7" s="23" customFormat="1" x14ac:dyDescent="0.2"/>
    <row r="106" spans="6:7" s="23" customFormat="1" x14ac:dyDescent="0.2">
      <c r="G106" s="31"/>
    </row>
    <row r="107" spans="6:7" s="23" customFormat="1" x14ac:dyDescent="0.2"/>
    <row r="108" spans="6:7" s="23" customFormat="1" x14ac:dyDescent="0.2"/>
    <row r="109" spans="6:7" s="23" customFormat="1" x14ac:dyDescent="0.2"/>
    <row r="110" spans="6:7" s="23" customFormat="1" x14ac:dyDescent="0.2">
      <c r="G110" s="24"/>
    </row>
    <row r="111" spans="6:7" s="23" customFormat="1" x14ac:dyDescent="0.2"/>
    <row r="112" spans="6:7" s="23" customFormat="1" x14ac:dyDescent="0.2"/>
    <row r="113" spans="6:7" s="23" customFormat="1" x14ac:dyDescent="0.2">
      <c r="G113" s="24"/>
    </row>
    <row r="114" spans="6:7" s="23" customFormat="1" x14ac:dyDescent="0.2"/>
    <row r="115" spans="6:7" s="23" customFormat="1" x14ac:dyDescent="0.2"/>
    <row r="116" spans="6:7" s="23" customFormat="1" x14ac:dyDescent="0.2"/>
    <row r="117" spans="6:7" s="23" customFormat="1" x14ac:dyDescent="0.2">
      <c r="G117" s="31"/>
    </row>
    <row r="118" spans="6:7" s="23" customFormat="1" x14ac:dyDescent="0.2">
      <c r="G118" s="24"/>
    </row>
    <row r="119" spans="6:7" s="23" customFormat="1" x14ac:dyDescent="0.2">
      <c r="F119" s="24"/>
      <c r="G119" s="24"/>
    </row>
    <row r="120" spans="6:7" s="23" customFormat="1" x14ac:dyDescent="0.2"/>
    <row r="121" spans="6:7" s="23" customFormat="1" x14ac:dyDescent="0.2"/>
    <row r="122" spans="6:7" s="23" customFormat="1" x14ac:dyDescent="0.2"/>
    <row r="123" spans="6:7" s="23" customFormat="1" x14ac:dyDescent="0.2">
      <c r="G123" s="24"/>
    </row>
    <row r="124" spans="6:7" s="23" customFormat="1" x14ac:dyDescent="0.2"/>
    <row r="125" spans="6:7" s="23" customFormat="1" x14ac:dyDescent="0.2"/>
    <row r="126" spans="6:7" s="23" customFormat="1" x14ac:dyDescent="0.2"/>
    <row r="127" spans="6:7" s="23" customFormat="1" x14ac:dyDescent="0.2"/>
    <row r="128" spans="6:7" s="23" customFormat="1" x14ac:dyDescent="0.2"/>
    <row r="129" spans="6:6" s="23" customFormat="1" x14ac:dyDescent="0.2"/>
    <row r="130" spans="6:6" s="23" customFormat="1" x14ac:dyDescent="0.2"/>
    <row r="131" spans="6:6" s="23" customFormat="1" x14ac:dyDescent="0.2"/>
    <row r="132" spans="6:6" s="23" customFormat="1" x14ac:dyDescent="0.2"/>
    <row r="133" spans="6:6" s="23" customFormat="1" x14ac:dyDescent="0.2"/>
    <row r="134" spans="6:6" s="23" customFormat="1" x14ac:dyDescent="0.2">
      <c r="F134" s="24"/>
    </row>
    <row r="135" spans="6:6" s="23" customFormat="1" x14ac:dyDescent="0.2"/>
    <row r="136" spans="6:6" s="23" customFormat="1" x14ac:dyDescent="0.2">
      <c r="F136" s="24"/>
    </row>
    <row r="137" spans="6:6" s="23" customFormat="1" x14ac:dyDescent="0.2"/>
    <row r="138" spans="6:6" s="19" customFormat="1" x14ac:dyDescent="0.2"/>
    <row r="139" spans="6:6" s="19" customFormat="1" x14ac:dyDescent="0.2"/>
    <row r="140" spans="6:6" s="19" customFormat="1" x14ac:dyDescent="0.2"/>
    <row r="141" spans="6:6" s="19" customFormat="1" x14ac:dyDescent="0.2"/>
    <row r="142" spans="6:6" s="19" customFormat="1" x14ac:dyDescent="0.2"/>
    <row r="143" spans="6:6" s="19" customFormat="1" x14ac:dyDescent="0.2"/>
    <row r="144" spans="6:6" s="19" customFormat="1" x14ac:dyDescent="0.2"/>
    <row r="145" spans="6:6" s="19" customFormat="1" x14ac:dyDescent="0.2">
      <c r="F145" s="26"/>
    </row>
    <row r="146" spans="6:6" s="19" customFormat="1" x14ac:dyDescent="0.2"/>
    <row r="147" spans="6:6" s="19" customFormat="1" x14ac:dyDescent="0.2"/>
    <row r="148" spans="6:6" s="19" customFormat="1" x14ac:dyDescent="0.2">
      <c r="F148" s="26"/>
    </row>
    <row r="149" spans="6:6" s="19" customFormat="1" x14ac:dyDescent="0.2"/>
    <row r="150" spans="6:6" s="19" customFormat="1" x14ac:dyDescent="0.2"/>
    <row r="151" spans="6:6" s="19" customFormat="1" x14ac:dyDescent="0.2">
      <c r="F151" s="26"/>
    </row>
    <row r="152" spans="6:6" s="19" customFormat="1" x14ac:dyDescent="0.2"/>
    <row r="153" spans="6:6" s="19" customFormat="1" x14ac:dyDescent="0.2"/>
    <row r="154" spans="6:6" s="19" customFormat="1" x14ac:dyDescent="0.2">
      <c r="F154" s="26"/>
    </row>
    <row r="155" spans="6:6" s="19" customFormat="1" x14ac:dyDescent="0.2">
      <c r="F155" s="26"/>
    </row>
    <row r="156" spans="6:6" s="19" customFormat="1" x14ac:dyDescent="0.2"/>
    <row r="157" spans="6:6" s="19" customFormat="1" x14ac:dyDescent="0.2"/>
    <row r="158" spans="6:6" s="19" customFormat="1" x14ac:dyDescent="0.2"/>
    <row r="159" spans="6:6" s="19" customFormat="1" x14ac:dyDescent="0.2">
      <c r="F159" s="26"/>
    </row>
    <row r="160" spans="6:6" s="19" customFormat="1" x14ac:dyDescent="0.2"/>
    <row r="161" s="19" customFormat="1" x14ac:dyDescent="0.2"/>
    <row r="162" s="19" customFormat="1" x14ac:dyDescent="0.2"/>
    <row r="163" s="19" customFormat="1" x14ac:dyDescent="0.2"/>
    <row r="164" s="19" customFormat="1" x14ac:dyDescent="0.2"/>
    <row r="165" s="19" customFormat="1" x14ac:dyDescent="0.2"/>
    <row r="166" s="19" customFormat="1" x14ac:dyDescent="0.2"/>
    <row r="167" s="19" customFormat="1" x14ac:dyDescent="0.2"/>
    <row r="168" s="19" customFormat="1" x14ac:dyDescent="0.2"/>
    <row r="169" s="19" customFormat="1" x14ac:dyDescent="0.2"/>
    <row r="170" s="19" customFormat="1" x14ac:dyDescent="0.2"/>
    <row r="171" s="19" customFormat="1" x14ac:dyDescent="0.2"/>
    <row r="172" s="19" customFormat="1" x14ac:dyDescent="0.2"/>
    <row r="173" s="19" customFormat="1" x14ac:dyDescent="0.2"/>
    <row r="174" s="19" customFormat="1" x14ac:dyDescent="0.2"/>
    <row r="175" s="19" customFormat="1" x14ac:dyDescent="0.2"/>
    <row r="176" s="19" customFormat="1" x14ac:dyDescent="0.2"/>
    <row r="177" s="19" customFormat="1" x14ac:dyDescent="0.2"/>
    <row r="178" s="19" customFormat="1" x14ac:dyDescent="0.2"/>
    <row r="179" s="19" customFormat="1" x14ac:dyDescent="0.2"/>
    <row r="180" s="19" customFormat="1" x14ac:dyDescent="0.2"/>
    <row r="181" s="19" customFormat="1" x14ac:dyDescent="0.2"/>
    <row r="182" s="19" customFormat="1" x14ac:dyDescent="0.2"/>
    <row r="183" s="19" customFormat="1" x14ac:dyDescent="0.2"/>
    <row r="184" s="19" customFormat="1" x14ac:dyDescent="0.2"/>
    <row r="185" s="19" customFormat="1" x14ac:dyDescent="0.2"/>
    <row r="186" s="19" customFormat="1" x14ac:dyDescent="0.2"/>
    <row r="187" s="19" customFormat="1" x14ac:dyDescent="0.2"/>
    <row r="188" s="19" customFormat="1" x14ac:dyDescent="0.2"/>
    <row r="189" s="19" customFormat="1" x14ac:dyDescent="0.2"/>
    <row r="190" s="19" customFormat="1" x14ac:dyDescent="0.2"/>
    <row r="191" s="19" customFormat="1" x14ac:dyDescent="0.2"/>
    <row r="192" s="19" customFormat="1" x14ac:dyDescent="0.2"/>
    <row r="193" s="19" customFormat="1" x14ac:dyDescent="0.2"/>
    <row r="194" s="19" customFormat="1" x14ac:dyDescent="0.2"/>
    <row r="195" s="19" customFormat="1" x14ac:dyDescent="0.2"/>
    <row r="196" s="19" customFormat="1" x14ac:dyDescent="0.2"/>
    <row r="197" s="19" customFormat="1" x14ac:dyDescent="0.2"/>
    <row r="198" s="19" customFormat="1" x14ac:dyDescent="0.2"/>
    <row r="199" s="19" customFormat="1" x14ac:dyDescent="0.2"/>
    <row r="200" s="19" customFormat="1" x14ac:dyDescent="0.2"/>
    <row r="201" s="19" customFormat="1" x14ac:dyDescent="0.2"/>
    <row r="202" s="19" customFormat="1" x14ac:dyDescent="0.2"/>
    <row r="203" s="19" customFormat="1" x14ac:dyDescent="0.2"/>
    <row r="204" s="19" customFormat="1" x14ac:dyDescent="0.2"/>
    <row r="205" s="19" customFormat="1" x14ac:dyDescent="0.2"/>
    <row r="206" s="19" customFormat="1" x14ac:dyDescent="0.2"/>
    <row r="207" s="19" customFormat="1" x14ac:dyDescent="0.2"/>
    <row r="208" s="19" customFormat="1" x14ac:dyDescent="0.2"/>
    <row r="209" s="19" customFormat="1" x14ac:dyDescent="0.2"/>
    <row r="210" s="19" customFormat="1" x14ac:dyDescent="0.2"/>
    <row r="211" s="19" customFormat="1" x14ac:dyDescent="0.2"/>
    <row r="212" s="19" customFormat="1" x14ac:dyDescent="0.2"/>
    <row r="213" s="19" customFormat="1" x14ac:dyDescent="0.2"/>
    <row r="214" s="19" customFormat="1" x14ac:dyDescent="0.2"/>
    <row r="215" s="19" customFormat="1" x14ac:dyDescent="0.2"/>
    <row r="216" s="19" customFormat="1" x14ac:dyDescent="0.2"/>
    <row r="217" s="19" customFormat="1" x14ac:dyDescent="0.2"/>
    <row r="218" s="19" customFormat="1" x14ac:dyDescent="0.2"/>
    <row r="219" s="19" customFormat="1" x14ac:dyDescent="0.2"/>
    <row r="220" s="19" customFormat="1" x14ac:dyDescent="0.2"/>
    <row r="221" s="19" customFormat="1" x14ac:dyDescent="0.2"/>
    <row r="222" s="19" customFormat="1" x14ac:dyDescent="0.2"/>
    <row r="223" s="19" customFormat="1" x14ac:dyDescent="0.2"/>
    <row r="224" s="19" customFormat="1" x14ac:dyDescent="0.2"/>
    <row r="225" s="19" customFormat="1" x14ac:dyDescent="0.2"/>
    <row r="226" s="19" customFormat="1" x14ac:dyDescent="0.2"/>
    <row r="227" s="19" customFormat="1" x14ac:dyDescent="0.2"/>
    <row r="228" s="19" customFormat="1" x14ac:dyDescent="0.2"/>
    <row r="229" s="19" customFormat="1" x14ac:dyDescent="0.2"/>
    <row r="230" s="19" customFormat="1" x14ac:dyDescent="0.2"/>
    <row r="231" s="19" customFormat="1" x14ac:dyDescent="0.2"/>
    <row r="232" s="19" customFormat="1" x14ac:dyDescent="0.2"/>
    <row r="233" s="19" customFormat="1" x14ac:dyDescent="0.2"/>
    <row r="234" s="19" customFormat="1" x14ac:dyDescent="0.2"/>
    <row r="235" s="19" customFormat="1" x14ac:dyDescent="0.2"/>
    <row r="236" s="19" customFormat="1" x14ac:dyDescent="0.2"/>
    <row r="237" s="19" customFormat="1" x14ac:dyDescent="0.2"/>
    <row r="238" s="19" customFormat="1" x14ac:dyDescent="0.2"/>
    <row r="239" s="19" customFormat="1" x14ac:dyDescent="0.2"/>
    <row r="240" s="19" customFormat="1" x14ac:dyDescent="0.2"/>
    <row r="241" s="19" customFormat="1" x14ac:dyDescent="0.2"/>
    <row r="242" s="19" customFormat="1" x14ac:dyDescent="0.2"/>
    <row r="243" s="19" customFormat="1" x14ac:dyDescent="0.2"/>
    <row r="244" s="19" customFormat="1" x14ac:dyDescent="0.2"/>
    <row r="245" s="19" customFormat="1" x14ac:dyDescent="0.2"/>
    <row r="246" s="19" customFormat="1" x14ac:dyDescent="0.2"/>
    <row r="247" s="19" customFormat="1" x14ac:dyDescent="0.2"/>
    <row r="248" s="19" customFormat="1" x14ac:dyDescent="0.2"/>
    <row r="249" s="19" customFormat="1" x14ac:dyDescent="0.2"/>
    <row r="250" s="19" customFormat="1" x14ac:dyDescent="0.2"/>
    <row r="251" s="19" customFormat="1" x14ac:dyDescent="0.2"/>
    <row r="252" s="19" customFormat="1" x14ac:dyDescent="0.2"/>
    <row r="253" s="19" customFormat="1" x14ac:dyDescent="0.2"/>
    <row r="254" s="19" customFormat="1" x14ac:dyDescent="0.2"/>
    <row r="255" s="19" customFormat="1" x14ac:dyDescent="0.2"/>
    <row r="256" s="19" customFormat="1" x14ac:dyDescent="0.2"/>
    <row r="257" s="19" customFormat="1" x14ac:dyDescent="0.2"/>
    <row r="258" s="19" customFormat="1" x14ac:dyDescent="0.2"/>
    <row r="259" s="19" customFormat="1" x14ac:dyDescent="0.2"/>
    <row r="260" s="19" customFormat="1" x14ac:dyDescent="0.2"/>
    <row r="261" s="19" customFormat="1" x14ac:dyDescent="0.2"/>
    <row r="262" s="19" customFormat="1" x14ac:dyDescent="0.2"/>
    <row r="263" s="19" customFormat="1" x14ac:dyDescent="0.2"/>
    <row r="264" s="19" customFormat="1" x14ac:dyDescent="0.2"/>
    <row r="265" s="19" customFormat="1" x14ac:dyDescent="0.2"/>
    <row r="266" s="19" customFormat="1" x14ac:dyDescent="0.2"/>
    <row r="267" s="19" customFormat="1" x14ac:dyDescent="0.2"/>
    <row r="268" s="19" customFormat="1" x14ac:dyDescent="0.2"/>
    <row r="269" s="19" customFormat="1" x14ac:dyDescent="0.2"/>
    <row r="270" s="19" customFormat="1" x14ac:dyDescent="0.2"/>
    <row r="271" s="19" customFormat="1" x14ac:dyDescent="0.2"/>
    <row r="272" s="19" customFormat="1" x14ac:dyDescent="0.2"/>
    <row r="273" s="19" customFormat="1" x14ac:dyDescent="0.2"/>
    <row r="274" s="19" customFormat="1" x14ac:dyDescent="0.2"/>
    <row r="275" s="19" customFormat="1" x14ac:dyDescent="0.2"/>
    <row r="276" s="19" customFormat="1" x14ac:dyDescent="0.2"/>
    <row r="277" s="19" customFormat="1" x14ac:dyDescent="0.2"/>
    <row r="278" s="19" customFormat="1" x14ac:dyDescent="0.2"/>
    <row r="279" s="19" customFormat="1" x14ac:dyDescent="0.2"/>
    <row r="280" s="19" customFormat="1" x14ac:dyDescent="0.2"/>
    <row r="281" s="19" customFormat="1" x14ac:dyDescent="0.2"/>
    <row r="282" s="19" customFormat="1" x14ac:dyDescent="0.2"/>
    <row r="283" s="19" customFormat="1" x14ac:dyDescent="0.2"/>
    <row r="284" s="19" customFormat="1" x14ac:dyDescent="0.2"/>
    <row r="285" s="19" customFormat="1" x14ac:dyDescent="0.2"/>
    <row r="286" s="19" customFormat="1" x14ac:dyDescent="0.2"/>
    <row r="287" s="19" customFormat="1" x14ac:dyDescent="0.2"/>
    <row r="288" s="19" customFormat="1" x14ac:dyDescent="0.2"/>
    <row r="289" s="19" customFormat="1" x14ac:dyDescent="0.2"/>
    <row r="290" s="19" customFormat="1" x14ac:dyDescent="0.2"/>
    <row r="291" s="19" customFormat="1" x14ac:dyDescent="0.2"/>
    <row r="292" s="19" customFormat="1" x14ac:dyDescent="0.2"/>
    <row r="293" s="19" customFormat="1" x14ac:dyDescent="0.2"/>
    <row r="294" s="19" customFormat="1" x14ac:dyDescent="0.2"/>
    <row r="295" s="19" customFormat="1" x14ac:dyDescent="0.2"/>
    <row r="296" s="19" customFormat="1" x14ac:dyDescent="0.2"/>
    <row r="297" s="19" customFormat="1" x14ac:dyDescent="0.2"/>
    <row r="298" s="19" customFormat="1" x14ac:dyDescent="0.2"/>
    <row r="299" s="19" customFormat="1" x14ac:dyDescent="0.2"/>
    <row r="300" s="19" customFormat="1" x14ac:dyDescent="0.2"/>
    <row r="301" s="19" customFormat="1" x14ac:dyDescent="0.2"/>
    <row r="302" s="19" customFormat="1" x14ac:dyDescent="0.2"/>
    <row r="303" s="19" customFormat="1" x14ac:dyDescent="0.2"/>
    <row r="304" s="19" customFormat="1" x14ac:dyDescent="0.2"/>
    <row r="305" s="19" customFormat="1" x14ac:dyDescent="0.2"/>
    <row r="306" s="19" customFormat="1" x14ac:dyDescent="0.2"/>
    <row r="307" s="19" customFormat="1" x14ac:dyDescent="0.2"/>
    <row r="308" s="19" customFormat="1" x14ac:dyDescent="0.2"/>
    <row r="309" s="19" customFormat="1" x14ac:dyDescent="0.2"/>
    <row r="310" s="19" customFormat="1" x14ac:dyDescent="0.2"/>
    <row r="311" s="19" customFormat="1" x14ac:dyDescent="0.2"/>
    <row r="312" s="19" customFormat="1" x14ac:dyDescent="0.2"/>
    <row r="313" s="19" customFormat="1" x14ac:dyDescent="0.2"/>
    <row r="314" s="19" customFormat="1" x14ac:dyDescent="0.2"/>
    <row r="315" s="19" customFormat="1" x14ac:dyDescent="0.2"/>
    <row r="316" s="19" customFormat="1" x14ac:dyDescent="0.2"/>
    <row r="317" s="19" customFormat="1" x14ac:dyDescent="0.2"/>
    <row r="318" s="19" customFormat="1" x14ac:dyDescent="0.2"/>
    <row r="319" s="19" customFormat="1" x14ac:dyDescent="0.2"/>
    <row r="320" s="19" customFormat="1" x14ac:dyDescent="0.2"/>
    <row r="321" s="19" customFormat="1" x14ac:dyDescent="0.2"/>
    <row r="322" s="19" customFormat="1" x14ac:dyDescent="0.2"/>
    <row r="323" s="19" customFormat="1" x14ac:dyDescent="0.2"/>
    <row r="324" s="19" customFormat="1" x14ac:dyDescent="0.2"/>
    <row r="325" s="19" customFormat="1" x14ac:dyDescent="0.2"/>
    <row r="326" s="19" customFormat="1" x14ac:dyDescent="0.2"/>
    <row r="327" s="19" customFormat="1" x14ac:dyDescent="0.2"/>
    <row r="328" s="19" customFormat="1" x14ac:dyDescent="0.2"/>
    <row r="329" s="19" customFormat="1" x14ac:dyDescent="0.2"/>
    <row r="330" s="19" customFormat="1" x14ac:dyDescent="0.2"/>
    <row r="331" s="19" customFormat="1" x14ac:dyDescent="0.2"/>
    <row r="332" s="19" customFormat="1" x14ac:dyDescent="0.2"/>
    <row r="333" s="19" customFormat="1" x14ac:dyDescent="0.2"/>
    <row r="334" s="19" customFormat="1" x14ac:dyDescent="0.2"/>
    <row r="335" s="19" customFormat="1" x14ac:dyDescent="0.2"/>
    <row r="336" s="19" customFormat="1" x14ac:dyDescent="0.2"/>
    <row r="337" s="19" customFormat="1" x14ac:dyDescent="0.2"/>
    <row r="338" s="19" customFormat="1" x14ac:dyDescent="0.2"/>
    <row r="339" s="19" customFormat="1" x14ac:dyDescent="0.2"/>
    <row r="340" s="19" customFormat="1" x14ac:dyDescent="0.2"/>
    <row r="341" s="19" customFormat="1" x14ac:dyDescent="0.2"/>
    <row r="342" s="19" customFormat="1" x14ac:dyDescent="0.2"/>
    <row r="343" s="19" customFormat="1" x14ac:dyDescent="0.2"/>
    <row r="344" s="19" customFormat="1" x14ac:dyDescent="0.2"/>
    <row r="345" s="19" customFormat="1" x14ac:dyDescent="0.2"/>
  </sheetData>
  <mergeCells count="4">
    <mergeCell ref="A2:XFD2"/>
    <mergeCell ref="A30:B30"/>
    <mergeCell ref="D30:E30"/>
    <mergeCell ref="A3:XFD2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C3E13-0C3A-C243-8A3B-CE8094A00C83}">
  <dimension ref="A1:DO2010"/>
  <sheetViews>
    <sheetView tabSelected="1" topLeftCell="A13" zoomScale="131" workbookViewId="0">
      <selection activeCell="B2" sqref="B2"/>
    </sheetView>
  </sheetViews>
  <sheetFormatPr baseColWidth="10" defaultRowHeight="16" x14ac:dyDescent="0.2"/>
  <cols>
    <col min="1" max="1" width="27.1640625" style="2" customWidth="1"/>
    <col min="2" max="2" width="16.5" style="2" customWidth="1"/>
    <col min="3" max="3" width="14.6640625" style="2" customWidth="1"/>
    <col min="4" max="4" width="13.83203125" style="2" customWidth="1"/>
    <col min="5" max="6" width="10.83203125" style="2"/>
    <col min="7" max="7" width="12.33203125" style="2" customWidth="1"/>
    <col min="8" max="8" width="10.83203125" style="2"/>
    <col min="9" max="9" width="12.1640625" style="2" bestFit="1" customWidth="1"/>
    <col min="10" max="10" width="10.83203125" style="2"/>
    <col min="11" max="11" width="12.1640625" style="2" bestFit="1" customWidth="1"/>
    <col min="12" max="12" width="10.83203125" style="2"/>
    <col min="13" max="13" width="12.1640625" style="2" bestFit="1" customWidth="1"/>
    <col min="14" max="14" width="10.83203125" style="2"/>
    <col min="15" max="15" width="12.1640625" style="2" bestFit="1" customWidth="1"/>
    <col min="16" max="17" width="10.83203125" style="2"/>
    <col min="18" max="18" width="12.1640625" style="2" bestFit="1" customWidth="1"/>
    <col min="19" max="19" width="10.83203125" style="2"/>
    <col min="20" max="20" width="13.33203125" style="2" customWidth="1"/>
    <col min="21" max="36" width="10.83203125" style="2"/>
    <col min="37" max="37" width="17.6640625" style="2" bestFit="1" customWidth="1"/>
    <col min="38" max="38" width="11.6640625" style="2" bestFit="1" customWidth="1"/>
    <col min="39" max="39" width="10.83203125" style="2"/>
    <col min="40" max="40" width="17.6640625" style="2" bestFit="1" customWidth="1"/>
    <col min="41" max="41" width="13.33203125" style="2" bestFit="1" customWidth="1"/>
    <col min="42" max="42" width="10.83203125" style="2"/>
    <col min="43" max="43" width="17.6640625" style="2" bestFit="1" customWidth="1"/>
    <col min="44" max="44" width="12.33203125" style="2" bestFit="1" customWidth="1"/>
    <col min="45" max="46" width="10.83203125" style="2"/>
    <col min="47" max="47" width="17.6640625" style="2" bestFit="1" customWidth="1"/>
    <col min="48" max="48" width="19.1640625" style="53" customWidth="1"/>
    <col min="49" max="49" width="10.83203125" style="2"/>
    <col min="50" max="50" width="17.6640625" style="2" bestFit="1" customWidth="1"/>
    <col min="51" max="51" width="29.1640625" style="53" customWidth="1"/>
    <col min="52" max="53" width="10.83203125" style="2"/>
    <col min="54" max="54" width="17.6640625" style="2" bestFit="1" customWidth="1"/>
    <col min="55" max="55" width="11.6640625" style="2" bestFit="1" customWidth="1"/>
    <col min="56" max="56" width="12.83203125" style="2" customWidth="1"/>
    <col min="57" max="57" width="13.83203125" style="2" customWidth="1"/>
    <col min="58" max="58" width="13.33203125" style="2" bestFit="1" customWidth="1"/>
    <col min="59" max="59" width="12.83203125" style="2" customWidth="1"/>
    <col min="60" max="60" width="17.6640625" style="2" bestFit="1" customWidth="1"/>
    <col min="61" max="61" width="12.33203125" style="2" bestFit="1" customWidth="1"/>
    <col min="62" max="63" width="10.83203125" style="2"/>
    <col min="64" max="65" width="17.6640625" style="2" bestFit="1" customWidth="1"/>
    <col min="66" max="70" width="20.6640625" style="2" customWidth="1"/>
    <col min="71" max="71" width="12.33203125" style="2" bestFit="1" customWidth="1"/>
    <col min="72" max="73" width="10.83203125" style="2"/>
    <col min="74" max="74" width="17.6640625" style="2" bestFit="1" customWidth="1"/>
    <col min="75" max="75" width="5.33203125" style="2" customWidth="1"/>
    <col min="76" max="76" width="10.5" style="2" customWidth="1"/>
    <col min="77" max="77" width="7" style="2" customWidth="1"/>
    <col min="78" max="78" width="29.6640625" style="2" customWidth="1"/>
    <col min="79" max="79" width="10.83203125" style="2" customWidth="1"/>
    <col min="80" max="80" width="10.83203125" style="2"/>
    <col min="81" max="81" width="17.6640625" style="2" bestFit="1" customWidth="1"/>
    <col min="82" max="82" width="5.33203125" style="2" customWidth="1"/>
    <col min="83" max="83" width="10.5" style="2" customWidth="1"/>
    <col min="84" max="84" width="7" style="2" customWidth="1"/>
    <col min="85" max="85" width="29.6640625" style="2" customWidth="1"/>
    <col min="86" max="87" width="10.83203125" style="2"/>
    <col min="88" max="88" width="17.6640625" style="2" bestFit="1" customWidth="1"/>
    <col min="89" max="89" width="5.33203125" style="2" customWidth="1"/>
    <col min="90" max="90" width="10.5" style="2" customWidth="1"/>
    <col min="91" max="91" width="14.1640625" style="2" customWidth="1"/>
    <col min="92" max="92" width="7.83203125" style="2" customWidth="1"/>
    <col min="93" max="93" width="6.5" style="2" customWidth="1"/>
    <col min="94" max="94" width="10.83203125" style="2"/>
    <col min="95" max="95" width="14" style="2" customWidth="1"/>
    <col min="96" max="96" width="15.5" style="2" customWidth="1"/>
    <col min="97" max="97" width="12.33203125" style="2" customWidth="1"/>
    <col min="98" max="98" width="7" style="2" customWidth="1"/>
    <col min="99" max="99" width="11.6640625" style="2" customWidth="1"/>
    <col min="100" max="101" width="10.83203125" style="2"/>
    <col min="102" max="102" width="14" style="2" customWidth="1"/>
    <col min="103" max="103" width="15.5" style="2" customWidth="1"/>
    <col min="104" max="104" width="12.33203125" style="2" customWidth="1"/>
    <col min="105" max="105" width="7" style="2" customWidth="1"/>
    <col min="106" max="106" width="11.6640625" style="2" customWidth="1"/>
    <col min="107" max="108" width="10.83203125" style="2"/>
    <col min="109" max="109" width="14" style="2" customWidth="1"/>
    <col min="110" max="110" width="15.5" style="2" customWidth="1"/>
    <col min="111" max="111" width="12.33203125" style="2" customWidth="1"/>
    <col min="112" max="112" width="7" style="2" customWidth="1"/>
    <col min="113" max="113" width="11.6640625" style="2" customWidth="1"/>
    <col min="114" max="16384" width="10.83203125" style="2"/>
  </cols>
  <sheetData>
    <row r="1" spans="1:119" s="80" customFormat="1" ht="19" thickBot="1" x14ac:dyDescent="0.25">
      <c r="A1" s="80" t="s">
        <v>3</v>
      </c>
    </row>
    <row r="2" spans="1:119" s="16" customFormat="1" ht="19" thickBot="1" x14ac:dyDescent="0.25">
      <c r="A2" s="14" t="s">
        <v>2</v>
      </c>
      <c r="B2" s="15">
        <v>253</v>
      </c>
      <c r="AV2" s="52"/>
      <c r="AY2" s="52"/>
    </row>
    <row r="3" spans="1:119" s="16" customFormat="1" x14ac:dyDescent="0.2">
      <c r="AV3" s="52"/>
      <c r="AY3" s="52"/>
    </row>
    <row r="4" spans="1:119" s="11" customFormat="1" x14ac:dyDescent="0.2">
      <c r="H4" s="12"/>
      <c r="V4" s="12"/>
      <c r="AJ4" s="12"/>
      <c r="AT4" s="12"/>
      <c r="AV4" s="51"/>
      <c r="AY4" s="51"/>
      <c r="BA4" s="12"/>
      <c r="BK4" s="12"/>
      <c r="BU4" s="12"/>
      <c r="BW4" s="51"/>
      <c r="BZ4" s="51"/>
      <c r="CB4" s="12"/>
      <c r="CD4" s="51"/>
      <c r="CG4" s="51"/>
      <c r="CI4" s="12"/>
      <c r="CK4" s="51"/>
      <c r="CN4" s="51"/>
      <c r="CP4" s="12"/>
      <c r="CR4" s="51"/>
      <c r="CU4" s="51"/>
      <c r="CW4" s="12"/>
      <c r="CY4" s="51"/>
      <c r="DB4" s="51"/>
      <c r="DD4" s="12"/>
      <c r="DF4" s="51"/>
      <c r="DI4" s="51"/>
      <c r="DK4" s="12"/>
    </row>
    <row r="5" spans="1:119" s="8" customFormat="1" ht="20" x14ac:dyDescent="0.2">
      <c r="A5" s="75" t="s">
        <v>4</v>
      </c>
      <c r="B5" s="75"/>
      <c r="C5" s="75"/>
      <c r="D5" s="75"/>
      <c r="E5" s="75"/>
      <c r="F5" s="75"/>
      <c r="H5" s="9"/>
      <c r="I5" s="75" t="s">
        <v>28</v>
      </c>
      <c r="J5" s="75"/>
      <c r="K5" s="75"/>
      <c r="L5" s="75"/>
      <c r="M5" s="75"/>
      <c r="N5" s="75"/>
      <c r="O5" s="75"/>
      <c r="P5" s="75"/>
      <c r="Q5" s="75"/>
      <c r="R5" s="75"/>
      <c r="S5" s="75"/>
      <c r="T5" s="75"/>
      <c r="U5" s="75"/>
      <c r="V5" s="9"/>
      <c r="W5" s="75" t="s">
        <v>34</v>
      </c>
      <c r="X5" s="75"/>
      <c r="Y5" s="75"/>
      <c r="Z5" s="75"/>
      <c r="AA5" s="75"/>
      <c r="AB5" s="75"/>
      <c r="AC5" s="75"/>
      <c r="AD5" s="75"/>
      <c r="AE5" s="75"/>
      <c r="AF5" s="75"/>
      <c r="AG5" s="75"/>
      <c r="AH5" s="75"/>
      <c r="AI5" s="75"/>
      <c r="AJ5" s="9"/>
      <c r="AK5" s="75" t="s">
        <v>84</v>
      </c>
      <c r="AL5" s="75"/>
      <c r="AM5" s="75"/>
      <c r="AN5" s="75"/>
      <c r="AO5" s="75"/>
      <c r="AP5" s="75"/>
      <c r="AQ5" s="75"/>
      <c r="AR5" s="75"/>
      <c r="AS5" s="75"/>
      <c r="AT5" s="9"/>
      <c r="AU5" s="75" t="s">
        <v>95</v>
      </c>
      <c r="AV5" s="75"/>
      <c r="AW5" s="75"/>
      <c r="AX5" s="75"/>
      <c r="AY5" s="75"/>
      <c r="AZ5" s="75"/>
      <c r="BA5" s="9"/>
      <c r="BB5" s="75" t="s">
        <v>104</v>
      </c>
      <c r="BC5" s="75"/>
      <c r="BD5" s="75"/>
      <c r="BE5" s="75"/>
      <c r="BF5" s="75"/>
      <c r="BG5" s="75"/>
      <c r="BH5" s="75"/>
      <c r="BI5" s="75"/>
      <c r="BJ5" s="75"/>
      <c r="BK5" s="9"/>
      <c r="BL5" s="75" t="s">
        <v>113</v>
      </c>
      <c r="BM5" s="75"/>
      <c r="BN5" s="75"/>
      <c r="BO5" s="75"/>
      <c r="BP5" s="75"/>
      <c r="BQ5" s="75"/>
      <c r="BR5" s="75"/>
      <c r="BS5" s="75"/>
      <c r="BT5" s="75"/>
      <c r="BU5" s="9"/>
      <c r="BV5" s="75" t="s">
        <v>134</v>
      </c>
      <c r="BW5" s="75"/>
      <c r="BX5" s="75"/>
      <c r="BY5" s="75"/>
      <c r="BZ5" s="75"/>
      <c r="CA5" s="75"/>
      <c r="CB5" s="9"/>
      <c r="CC5" s="75" t="s">
        <v>143</v>
      </c>
      <c r="CD5" s="75"/>
      <c r="CE5" s="75"/>
      <c r="CF5" s="75"/>
      <c r="CG5" s="75"/>
      <c r="CH5" s="75"/>
      <c r="CI5" s="9"/>
      <c r="CJ5" s="75" t="s">
        <v>149</v>
      </c>
      <c r="CK5" s="75"/>
      <c r="CL5" s="75"/>
      <c r="CM5" s="75"/>
      <c r="CN5" s="75"/>
      <c r="CO5" s="75"/>
      <c r="CP5" s="9"/>
      <c r="CQ5" s="75" t="s">
        <v>150</v>
      </c>
      <c r="CR5" s="75"/>
      <c r="CS5" s="75"/>
      <c r="CT5" s="75"/>
      <c r="CU5" s="75"/>
      <c r="CV5" s="75"/>
      <c r="CW5" s="9"/>
      <c r="CX5" s="75" t="s">
        <v>175</v>
      </c>
      <c r="CY5" s="75"/>
      <c r="CZ5" s="75"/>
      <c r="DA5" s="75"/>
      <c r="DB5" s="75"/>
      <c r="DC5" s="75"/>
      <c r="DD5" s="9"/>
      <c r="DE5" s="75" t="s">
        <v>176</v>
      </c>
      <c r="DF5" s="75"/>
      <c r="DG5" s="75"/>
      <c r="DH5" s="75"/>
      <c r="DI5" s="75"/>
      <c r="DJ5" s="75"/>
      <c r="DK5" s="9"/>
      <c r="DL5" s="83" t="s">
        <v>192</v>
      </c>
      <c r="DM5" s="83"/>
      <c r="DN5" s="83"/>
      <c r="DO5" s="83"/>
    </row>
    <row r="6" spans="1:119" s="3" customFormat="1" ht="18" customHeight="1" x14ac:dyDescent="0.2">
      <c r="A6" s="74" t="s">
        <v>24</v>
      </c>
      <c r="B6" s="74"/>
      <c r="C6" s="74"/>
      <c r="D6" s="74"/>
      <c r="E6" s="74"/>
      <c r="F6" s="74"/>
      <c r="G6" s="74"/>
      <c r="H6" s="10"/>
      <c r="I6" s="74" t="s">
        <v>29</v>
      </c>
      <c r="J6" s="74"/>
      <c r="K6" s="74"/>
      <c r="L6" s="74"/>
      <c r="M6" s="74"/>
      <c r="N6" s="74"/>
      <c r="O6" s="74"/>
      <c r="P6" s="74"/>
      <c r="Q6" s="74"/>
      <c r="R6" s="74"/>
      <c r="S6" s="74"/>
      <c r="T6" s="74"/>
      <c r="U6" s="74"/>
      <c r="V6" s="17"/>
      <c r="W6" s="74" t="s">
        <v>29</v>
      </c>
      <c r="X6" s="74"/>
      <c r="Y6" s="74"/>
      <c r="Z6" s="74"/>
      <c r="AA6" s="74"/>
      <c r="AB6" s="74"/>
      <c r="AC6" s="74"/>
      <c r="AD6" s="74"/>
      <c r="AE6" s="74"/>
      <c r="AF6" s="74"/>
      <c r="AG6" s="74"/>
      <c r="AH6" s="74"/>
      <c r="AI6" s="74"/>
      <c r="AJ6" s="17"/>
      <c r="AK6" s="74" t="s">
        <v>85</v>
      </c>
      <c r="AL6" s="74"/>
      <c r="AM6" s="74"/>
      <c r="AN6" s="74"/>
      <c r="AO6" s="74"/>
      <c r="AP6" s="74"/>
      <c r="AQ6" s="74"/>
      <c r="AR6" s="74"/>
      <c r="AS6" s="74"/>
      <c r="AT6" s="42"/>
      <c r="AU6" s="74" t="s">
        <v>96</v>
      </c>
      <c r="AV6" s="74"/>
      <c r="AW6" s="74"/>
      <c r="AX6" s="74"/>
      <c r="AY6" s="74"/>
      <c r="AZ6" s="74"/>
      <c r="BA6" s="42"/>
      <c r="BB6" s="74" t="s">
        <v>105</v>
      </c>
      <c r="BC6" s="74"/>
      <c r="BD6" s="74"/>
      <c r="BE6" s="74"/>
      <c r="BF6" s="74"/>
      <c r="BG6" s="74"/>
      <c r="BH6" s="74"/>
      <c r="BI6" s="74"/>
      <c r="BJ6" s="74"/>
      <c r="BK6" s="42"/>
      <c r="BL6" s="74" t="s">
        <v>114</v>
      </c>
      <c r="BM6" s="74"/>
      <c r="BN6" s="74"/>
      <c r="BO6" s="74"/>
      <c r="BP6" s="74"/>
      <c r="BQ6" s="74"/>
      <c r="BR6" s="74"/>
      <c r="BS6" s="74"/>
      <c r="BT6" s="74"/>
      <c r="BU6" s="42"/>
      <c r="BV6" s="74" t="s">
        <v>135</v>
      </c>
      <c r="BW6" s="74"/>
      <c r="BX6" s="74"/>
      <c r="BY6" s="74"/>
      <c r="BZ6" s="74"/>
      <c r="CA6" s="74"/>
      <c r="CB6" s="42"/>
      <c r="CC6" s="74" t="s">
        <v>144</v>
      </c>
      <c r="CD6" s="74"/>
      <c r="CE6" s="74"/>
      <c r="CF6" s="74"/>
      <c r="CG6" s="74"/>
      <c r="CH6" s="74"/>
      <c r="CI6" s="42"/>
      <c r="CJ6" s="74" t="s">
        <v>161</v>
      </c>
      <c r="CK6" s="74"/>
      <c r="CL6" s="74"/>
      <c r="CM6" s="74"/>
      <c r="CN6" s="74"/>
      <c r="CO6" s="74"/>
      <c r="CP6" s="42"/>
      <c r="CQ6" s="74" t="s">
        <v>165</v>
      </c>
      <c r="CR6" s="74"/>
      <c r="CS6" s="74"/>
      <c r="CT6" s="74"/>
      <c r="CU6" s="74"/>
      <c r="CV6" s="74"/>
      <c r="CW6" s="42"/>
      <c r="CX6" s="74" t="s">
        <v>177</v>
      </c>
      <c r="CY6" s="74"/>
      <c r="CZ6" s="74"/>
      <c r="DA6" s="74"/>
      <c r="DB6" s="74"/>
      <c r="DC6" s="74"/>
      <c r="DD6" s="42"/>
      <c r="DE6" s="74" t="s">
        <v>183</v>
      </c>
      <c r="DF6" s="74"/>
      <c r="DG6" s="74"/>
      <c r="DH6" s="74"/>
      <c r="DI6" s="74"/>
      <c r="DJ6" s="74"/>
      <c r="DK6" s="42"/>
      <c r="DL6" s="83"/>
      <c r="DM6" s="83"/>
      <c r="DN6" s="83"/>
      <c r="DO6" s="83"/>
    </row>
    <row r="7" spans="1:119" s="3" customFormat="1" ht="18" x14ac:dyDescent="0.2">
      <c r="A7" s="74"/>
      <c r="B7" s="74"/>
      <c r="C7" s="74"/>
      <c r="D7" s="74"/>
      <c r="E7" s="74"/>
      <c r="F7" s="74"/>
      <c r="G7" s="74"/>
      <c r="H7" s="10"/>
      <c r="I7" s="74"/>
      <c r="J7" s="74"/>
      <c r="K7" s="74"/>
      <c r="L7" s="74"/>
      <c r="M7" s="74"/>
      <c r="N7" s="74"/>
      <c r="O7" s="74"/>
      <c r="P7" s="74"/>
      <c r="Q7" s="74"/>
      <c r="R7" s="74"/>
      <c r="S7" s="74"/>
      <c r="T7" s="74"/>
      <c r="U7" s="74"/>
      <c r="V7" s="17"/>
      <c r="W7" s="74"/>
      <c r="X7" s="74"/>
      <c r="Y7" s="74"/>
      <c r="Z7" s="74"/>
      <c r="AA7" s="74"/>
      <c r="AB7" s="74"/>
      <c r="AC7" s="74"/>
      <c r="AD7" s="74"/>
      <c r="AE7" s="74"/>
      <c r="AF7" s="74"/>
      <c r="AG7" s="74"/>
      <c r="AH7" s="74"/>
      <c r="AI7" s="74"/>
      <c r="AJ7" s="17"/>
      <c r="AK7" s="74"/>
      <c r="AL7" s="74"/>
      <c r="AM7" s="74"/>
      <c r="AN7" s="74"/>
      <c r="AO7" s="74"/>
      <c r="AP7" s="74"/>
      <c r="AQ7" s="74"/>
      <c r="AR7" s="74"/>
      <c r="AS7" s="74"/>
      <c r="AT7" s="42"/>
      <c r="AU7" s="74"/>
      <c r="AV7" s="74"/>
      <c r="AW7" s="74"/>
      <c r="AX7" s="74"/>
      <c r="AY7" s="74"/>
      <c r="AZ7" s="74"/>
      <c r="BA7" s="42"/>
      <c r="BB7" s="74"/>
      <c r="BC7" s="74"/>
      <c r="BD7" s="74"/>
      <c r="BE7" s="74"/>
      <c r="BF7" s="74"/>
      <c r="BG7" s="74"/>
      <c r="BH7" s="74"/>
      <c r="BI7" s="74"/>
      <c r="BJ7" s="74"/>
      <c r="BK7" s="42"/>
      <c r="BL7" s="74"/>
      <c r="BM7" s="74"/>
      <c r="BN7" s="74"/>
      <c r="BO7" s="74"/>
      <c r="BP7" s="74"/>
      <c r="BQ7" s="74"/>
      <c r="BR7" s="74"/>
      <c r="BS7" s="74"/>
      <c r="BT7" s="74"/>
      <c r="BU7" s="42"/>
      <c r="BV7" s="74"/>
      <c r="BW7" s="74"/>
      <c r="BX7" s="74"/>
      <c r="BY7" s="74"/>
      <c r="BZ7" s="74"/>
      <c r="CA7" s="74"/>
      <c r="CB7" s="42"/>
      <c r="CC7" s="74"/>
      <c r="CD7" s="74"/>
      <c r="CE7" s="74"/>
      <c r="CF7" s="74"/>
      <c r="CG7" s="74"/>
      <c r="CH7" s="74"/>
      <c r="CI7" s="42"/>
      <c r="CJ7" s="74"/>
      <c r="CK7" s="74"/>
      <c r="CL7" s="74"/>
      <c r="CM7" s="74"/>
      <c r="CN7" s="74"/>
      <c r="CO7" s="74"/>
      <c r="CP7" s="42"/>
      <c r="CQ7" s="74"/>
      <c r="CR7" s="74"/>
      <c r="CS7" s="74"/>
      <c r="CT7" s="74"/>
      <c r="CU7" s="74"/>
      <c r="CV7" s="74"/>
      <c r="CW7" s="42"/>
      <c r="CX7" s="74"/>
      <c r="CY7" s="74"/>
      <c r="CZ7" s="74"/>
      <c r="DA7" s="74"/>
      <c r="DB7" s="74"/>
      <c r="DC7" s="74"/>
      <c r="DD7" s="42"/>
      <c r="DE7" s="74"/>
      <c r="DF7" s="74"/>
      <c r="DG7" s="74"/>
      <c r="DH7" s="74"/>
      <c r="DI7" s="74"/>
      <c r="DJ7" s="74"/>
      <c r="DK7" s="42"/>
      <c r="DL7" s="83"/>
      <c r="DM7" s="83"/>
      <c r="DN7" s="83"/>
      <c r="DO7" s="83"/>
    </row>
    <row r="8" spans="1:119" s="3" customFormat="1" ht="18" customHeight="1" x14ac:dyDescent="0.2">
      <c r="A8" s="74"/>
      <c r="B8" s="74"/>
      <c r="C8" s="74"/>
      <c r="D8" s="74"/>
      <c r="E8" s="74"/>
      <c r="F8" s="74"/>
      <c r="G8" s="74"/>
      <c r="H8" s="10"/>
      <c r="I8" s="74"/>
      <c r="J8" s="74"/>
      <c r="K8" s="74"/>
      <c r="L8" s="74"/>
      <c r="M8" s="74"/>
      <c r="N8" s="74"/>
      <c r="O8" s="74"/>
      <c r="P8" s="74"/>
      <c r="Q8" s="74"/>
      <c r="R8" s="74"/>
      <c r="S8" s="74"/>
      <c r="T8" s="74"/>
      <c r="U8" s="74"/>
      <c r="V8" s="10"/>
      <c r="W8" s="74"/>
      <c r="X8" s="74"/>
      <c r="Y8" s="74"/>
      <c r="Z8" s="74"/>
      <c r="AA8" s="74"/>
      <c r="AB8" s="74"/>
      <c r="AC8" s="74"/>
      <c r="AD8" s="74"/>
      <c r="AE8" s="74"/>
      <c r="AF8" s="74"/>
      <c r="AG8" s="74"/>
      <c r="AH8" s="74"/>
      <c r="AI8" s="74"/>
      <c r="AJ8" s="10"/>
      <c r="AK8" s="74"/>
      <c r="AL8" s="74"/>
      <c r="AM8" s="74"/>
      <c r="AN8" s="74"/>
      <c r="AO8" s="74"/>
      <c r="AP8" s="74"/>
      <c r="AQ8" s="74"/>
      <c r="AR8" s="74"/>
      <c r="AS8" s="74"/>
      <c r="AT8" s="42"/>
      <c r="AU8" s="74"/>
      <c r="AV8" s="74"/>
      <c r="AW8" s="74"/>
      <c r="AX8" s="74"/>
      <c r="AY8" s="74"/>
      <c r="AZ8" s="74"/>
      <c r="BA8" s="42"/>
      <c r="BB8" s="74"/>
      <c r="BC8" s="74"/>
      <c r="BD8" s="74"/>
      <c r="BE8" s="74"/>
      <c r="BF8" s="74"/>
      <c r="BG8" s="74"/>
      <c r="BH8" s="74"/>
      <c r="BI8" s="74"/>
      <c r="BJ8" s="74"/>
      <c r="BK8" s="42"/>
      <c r="BL8" s="74"/>
      <c r="BM8" s="74"/>
      <c r="BN8" s="74"/>
      <c r="BO8" s="74"/>
      <c r="BP8" s="74"/>
      <c r="BQ8" s="74"/>
      <c r="BR8" s="74"/>
      <c r="BS8" s="74"/>
      <c r="BT8" s="74"/>
      <c r="BU8" s="42"/>
      <c r="BV8" s="74" t="s">
        <v>138</v>
      </c>
      <c r="BW8" s="78" t="s">
        <v>139</v>
      </c>
      <c r="BX8" s="79">
        <f>0.25+(RIGHT($B$2,1)-2*LEFT($B$2,1))/50</f>
        <v>0.23</v>
      </c>
      <c r="BY8" s="32"/>
      <c r="BZ8" s="32"/>
      <c r="CA8" s="32"/>
      <c r="CB8" s="42"/>
      <c r="CC8" s="74"/>
      <c r="CD8" s="74"/>
      <c r="CE8" s="74"/>
      <c r="CF8" s="74"/>
      <c r="CG8" s="74"/>
      <c r="CH8" s="74"/>
      <c r="CI8" s="42"/>
      <c r="CJ8" s="74"/>
      <c r="CK8" s="74"/>
      <c r="CL8" s="74"/>
      <c r="CM8" s="74"/>
      <c r="CN8" s="74"/>
      <c r="CO8" s="74"/>
      <c r="CP8" s="42"/>
      <c r="CQ8" s="74"/>
      <c r="CR8" s="74"/>
      <c r="CS8" s="74"/>
      <c r="CT8" s="74"/>
      <c r="CU8" s="74"/>
      <c r="CV8" s="74"/>
      <c r="CW8" s="42"/>
      <c r="CX8" s="74"/>
      <c r="CY8" s="74"/>
      <c r="CZ8" s="74"/>
      <c r="DA8" s="74"/>
      <c r="DB8" s="74"/>
      <c r="DC8" s="74"/>
      <c r="DD8" s="42"/>
      <c r="DE8" s="74"/>
      <c r="DF8" s="74"/>
      <c r="DG8" s="74"/>
      <c r="DH8" s="74"/>
      <c r="DI8" s="74"/>
      <c r="DJ8" s="74"/>
      <c r="DK8" s="42"/>
      <c r="DL8" s="83"/>
      <c r="DM8" s="83"/>
      <c r="DN8" s="83"/>
      <c r="DO8" s="83"/>
    </row>
    <row r="9" spans="1:119" s="3" customFormat="1" ht="18" customHeight="1" x14ac:dyDescent="0.2">
      <c r="H9" s="10"/>
      <c r="I9" s="74"/>
      <c r="J9" s="74"/>
      <c r="K9" s="74"/>
      <c r="L9" s="74"/>
      <c r="M9" s="74"/>
      <c r="N9" s="74"/>
      <c r="O9" s="74"/>
      <c r="P9" s="74"/>
      <c r="Q9" s="74"/>
      <c r="R9" s="74"/>
      <c r="S9" s="74"/>
      <c r="T9" s="74"/>
      <c r="U9" s="74"/>
      <c r="V9" s="10"/>
      <c r="W9" s="74"/>
      <c r="X9" s="74"/>
      <c r="Y9" s="74"/>
      <c r="Z9" s="74"/>
      <c r="AA9" s="74"/>
      <c r="AB9" s="74"/>
      <c r="AC9" s="74"/>
      <c r="AD9" s="74"/>
      <c r="AE9" s="74"/>
      <c r="AF9" s="74"/>
      <c r="AG9" s="74"/>
      <c r="AH9" s="74"/>
      <c r="AI9" s="74"/>
      <c r="AJ9" s="10"/>
      <c r="AK9" s="32"/>
      <c r="AL9" s="32"/>
      <c r="AM9" s="32"/>
      <c r="AN9" s="32"/>
      <c r="AO9" s="32"/>
      <c r="AP9" s="32"/>
      <c r="AQ9" s="32"/>
      <c r="AR9" s="32"/>
      <c r="AS9" s="32"/>
      <c r="AT9" s="42"/>
      <c r="AU9" s="74"/>
      <c r="AV9" s="74"/>
      <c r="AW9" s="74"/>
      <c r="AX9" s="74"/>
      <c r="AY9" s="74"/>
      <c r="AZ9" s="74"/>
      <c r="BA9" s="42"/>
      <c r="BB9" s="74"/>
      <c r="BC9" s="74"/>
      <c r="BD9" s="74"/>
      <c r="BE9" s="74"/>
      <c r="BF9" s="74"/>
      <c r="BG9" s="74"/>
      <c r="BH9" s="74"/>
      <c r="BI9" s="74"/>
      <c r="BJ9" s="74"/>
      <c r="BK9" s="42"/>
      <c r="BL9" s="74"/>
      <c r="BM9" s="74"/>
      <c r="BN9" s="74"/>
      <c r="BO9" s="74"/>
      <c r="BP9" s="74"/>
      <c r="BQ9" s="74"/>
      <c r="BR9" s="74"/>
      <c r="BS9" s="74"/>
      <c r="BT9" s="74"/>
      <c r="BU9" s="42"/>
      <c r="BV9" s="74"/>
      <c r="BW9" s="78"/>
      <c r="BX9" s="79"/>
      <c r="BY9" s="32"/>
      <c r="BZ9" s="32"/>
      <c r="CA9" s="32"/>
      <c r="CB9" s="42"/>
      <c r="CC9" s="74"/>
      <c r="CD9" s="74"/>
      <c r="CE9" s="74"/>
      <c r="CF9" s="74"/>
      <c r="CG9" s="74"/>
      <c r="CH9" s="74"/>
      <c r="CI9" s="42"/>
      <c r="CJ9" s="74"/>
      <c r="CK9" s="74"/>
      <c r="CL9" s="74"/>
      <c r="CM9" s="74"/>
      <c r="CN9" s="74"/>
      <c r="CO9" s="74"/>
      <c r="CP9" s="42"/>
      <c r="CQ9" s="74"/>
      <c r="CR9" s="74"/>
      <c r="CS9" s="74"/>
      <c r="CT9" s="74"/>
      <c r="CU9" s="74"/>
      <c r="CV9" s="74"/>
      <c r="CW9" s="42"/>
      <c r="CX9" s="74"/>
      <c r="CY9" s="74"/>
      <c r="CZ9" s="74"/>
      <c r="DA9" s="74"/>
      <c r="DB9" s="74"/>
      <c r="DC9" s="74"/>
      <c r="DD9" s="42"/>
      <c r="DE9" s="74"/>
      <c r="DF9" s="74"/>
      <c r="DG9" s="74"/>
      <c r="DH9" s="74"/>
      <c r="DI9" s="74"/>
      <c r="DJ9" s="74"/>
      <c r="DK9" s="42"/>
      <c r="DL9" s="83"/>
      <c r="DM9" s="83"/>
      <c r="DN9" s="83"/>
      <c r="DO9" s="83"/>
    </row>
    <row r="10" spans="1:119" s="3" customFormat="1" ht="18" customHeight="1" x14ac:dyDescent="0.2">
      <c r="A10" s="4"/>
      <c r="B10" s="82" t="s">
        <v>8</v>
      </c>
      <c r="C10" s="82"/>
      <c r="D10" s="82"/>
      <c r="H10" s="10"/>
      <c r="I10" s="74"/>
      <c r="J10" s="74"/>
      <c r="K10" s="74"/>
      <c r="L10" s="74"/>
      <c r="M10" s="74"/>
      <c r="N10" s="74"/>
      <c r="O10" s="74"/>
      <c r="P10" s="74"/>
      <c r="Q10" s="74"/>
      <c r="R10" s="74"/>
      <c r="S10" s="74"/>
      <c r="T10" s="74"/>
      <c r="U10" s="74"/>
      <c r="V10" s="10"/>
      <c r="W10" s="74"/>
      <c r="X10" s="74"/>
      <c r="Y10" s="74"/>
      <c r="Z10" s="74"/>
      <c r="AA10" s="74"/>
      <c r="AB10" s="74"/>
      <c r="AC10" s="74"/>
      <c r="AD10" s="74"/>
      <c r="AE10" s="74"/>
      <c r="AF10" s="74"/>
      <c r="AG10" s="74"/>
      <c r="AH10" s="74"/>
      <c r="AI10" s="74"/>
      <c r="AJ10" s="10"/>
      <c r="AK10" s="74" t="s">
        <v>86</v>
      </c>
      <c r="AL10" s="74"/>
      <c r="AM10" s="74"/>
      <c r="AN10" s="74"/>
      <c r="AO10" s="74"/>
      <c r="AP10" s="74"/>
      <c r="AQ10" s="74"/>
      <c r="AR10" s="74"/>
      <c r="AS10" s="74"/>
      <c r="AT10" s="42"/>
      <c r="AU10" s="74"/>
      <c r="AV10" s="74"/>
      <c r="AW10" s="74"/>
      <c r="AX10" s="74"/>
      <c r="AY10" s="74"/>
      <c r="AZ10" s="74"/>
      <c r="BA10" s="42"/>
      <c r="BB10" s="74"/>
      <c r="BC10" s="74"/>
      <c r="BD10" s="74"/>
      <c r="BE10" s="74"/>
      <c r="BF10" s="74"/>
      <c r="BG10" s="74"/>
      <c r="BH10" s="74"/>
      <c r="BI10" s="74"/>
      <c r="BJ10" s="74"/>
      <c r="BK10" s="42"/>
      <c r="BL10" s="74"/>
      <c r="BM10" s="74"/>
      <c r="BN10" s="74"/>
      <c r="BO10" s="74"/>
      <c r="BP10" s="74"/>
      <c r="BQ10" s="74"/>
      <c r="BR10" s="74"/>
      <c r="BS10" s="74"/>
      <c r="BT10" s="74"/>
      <c r="BU10" s="42"/>
      <c r="BV10" s="77" t="s">
        <v>136</v>
      </c>
      <c r="BW10" s="77"/>
      <c r="BX10" s="77"/>
      <c r="BY10" s="77"/>
      <c r="BZ10" s="77"/>
      <c r="CA10" s="77"/>
      <c r="CB10" s="42"/>
      <c r="CC10" s="74" t="s">
        <v>145</v>
      </c>
      <c r="CD10" s="74"/>
      <c r="CE10" s="74"/>
      <c r="CF10" s="74"/>
      <c r="CG10" s="74"/>
      <c r="CH10" s="74"/>
      <c r="CI10" s="42"/>
      <c r="CJ10" s="74"/>
      <c r="CK10" s="74"/>
      <c r="CL10" s="74"/>
      <c r="CM10" s="74"/>
      <c r="CN10" s="74"/>
      <c r="CO10" s="74"/>
      <c r="CP10" s="42"/>
      <c r="CQ10" s="32" t="s">
        <v>162</v>
      </c>
      <c r="CR10" s="68" t="s">
        <v>167</v>
      </c>
      <c r="CS10" s="68" t="s">
        <v>168</v>
      </c>
      <c r="CT10" s="32"/>
      <c r="CU10" s="32"/>
      <c r="CV10" s="32"/>
      <c r="CW10" s="42"/>
      <c r="CX10" s="32"/>
      <c r="CY10" s="32"/>
      <c r="CZ10" s="32"/>
      <c r="DA10" s="32"/>
      <c r="DB10" s="32"/>
      <c r="DC10" s="32"/>
      <c r="DD10" s="42"/>
      <c r="DE10" s="74"/>
      <c r="DF10" s="74"/>
      <c r="DG10" s="74"/>
      <c r="DH10" s="74"/>
      <c r="DI10" s="74"/>
      <c r="DJ10" s="74"/>
      <c r="DK10" s="42"/>
      <c r="DL10" s="83"/>
      <c r="DM10" s="83"/>
      <c r="DN10" s="83"/>
      <c r="DO10" s="83"/>
    </row>
    <row r="11" spans="1:119" s="3" customFormat="1" ht="20" customHeight="1" thickBot="1" x14ac:dyDescent="0.25">
      <c r="A11" s="35" t="s">
        <v>7</v>
      </c>
      <c r="B11" s="36" t="s">
        <v>9</v>
      </c>
      <c r="C11" s="37" t="s">
        <v>10</v>
      </c>
      <c r="D11" s="36" t="s">
        <v>11</v>
      </c>
      <c r="H11" s="10"/>
      <c r="I11" s="74"/>
      <c r="J11" s="74"/>
      <c r="K11" s="74"/>
      <c r="L11" s="74"/>
      <c r="M11" s="74"/>
      <c r="N11" s="74"/>
      <c r="O11" s="74"/>
      <c r="P11" s="74"/>
      <c r="Q11" s="74"/>
      <c r="R11" s="74"/>
      <c r="S11" s="74"/>
      <c r="T11" s="74"/>
      <c r="U11" s="74"/>
      <c r="V11" s="10"/>
      <c r="W11" s="74"/>
      <c r="X11" s="74"/>
      <c r="Y11" s="74"/>
      <c r="Z11" s="74"/>
      <c r="AA11" s="74"/>
      <c r="AB11" s="74"/>
      <c r="AC11" s="74"/>
      <c r="AD11" s="74"/>
      <c r="AE11" s="74"/>
      <c r="AF11" s="74"/>
      <c r="AG11" s="74"/>
      <c r="AH11" s="74"/>
      <c r="AI11" s="74"/>
      <c r="AJ11" s="10"/>
      <c r="AK11" s="74"/>
      <c r="AL11" s="74"/>
      <c r="AM11" s="74"/>
      <c r="AN11" s="74"/>
      <c r="AO11" s="74"/>
      <c r="AP11" s="74"/>
      <c r="AQ11" s="74"/>
      <c r="AR11" s="74"/>
      <c r="AS11" s="74"/>
      <c r="AT11" s="42"/>
      <c r="AZ11" s="32"/>
      <c r="BA11" s="42"/>
      <c r="BK11" s="42"/>
      <c r="BL11" s="74"/>
      <c r="BM11" s="74"/>
      <c r="BN11" s="74"/>
      <c r="BO11" s="74"/>
      <c r="BP11" s="74"/>
      <c r="BQ11" s="74"/>
      <c r="BR11" s="74"/>
      <c r="BS11" s="74"/>
      <c r="BT11" s="74"/>
      <c r="BU11" s="42"/>
      <c r="BV11" s="77" t="s">
        <v>137</v>
      </c>
      <c r="BW11" s="77"/>
      <c r="BX11" s="77"/>
      <c r="BY11" s="77"/>
      <c r="BZ11" s="77"/>
      <c r="CA11" s="77"/>
      <c r="CB11" s="42"/>
      <c r="CC11" s="32"/>
      <c r="CD11" s="32"/>
      <c r="CE11" s="32"/>
      <c r="CF11" s="32"/>
      <c r="CG11" s="32"/>
      <c r="CH11" s="32"/>
      <c r="CI11" s="42"/>
      <c r="CJ11" s="74"/>
      <c r="CK11" s="74"/>
      <c r="CL11" s="74"/>
      <c r="CM11" s="74"/>
      <c r="CN11" s="74"/>
      <c r="CO11" s="74"/>
      <c r="CP11" s="42"/>
      <c r="CQ11" s="32" t="s">
        <v>163</v>
      </c>
      <c r="CR11" s="70">
        <f>29.6+(RIGHT($B$2,1)-2*LEFT($B$2,1))/10</f>
        <v>29.5</v>
      </c>
      <c r="CS11" s="70">
        <v>20</v>
      </c>
      <c r="CT11" s="32"/>
      <c r="CU11" s="32"/>
      <c r="CV11" s="32"/>
      <c r="CW11" s="42"/>
      <c r="CX11" s="74" t="s">
        <v>178</v>
      </c>
      <c r="CY11" s="74"/>
      <c r="CZ11" s="74"/>
      <c r="DA11" s="74"/>
      <c r="DB11" s="74"/>
      <c r="DC11" s="74"/>
      <c r="DD11" s="42"/>
      <c r="DK11" s="42"/>
      <c r="DL11" s="83"/>
      <c r="DM11" s="83"/>
      <c r="DN11" s="83"/>
      <c r="DO11" s="83"/>
    </row>
    <row r="12" spans="1:119" s="3" customFormat="1" ht="18" customHeight="1" x14ac:dyDescent="0.2">
      <c r="A12" s="30" t="s">
        <v>12</v>
      </c>
      <c r="B12" s="33">
        <f>88+LEFT($B$2,1)+RIGHT($B$2,1)</f>
        <v>93</v>
      </c>
      <c r="C12" s="34">
        <f>94+LEFT($B$2,1)+RIGHT($B$2,1)</f>
        <v>99</v>
      </c>
      <c r="D12" s="33">
        <f>88+LEFT($B$2,1)+RIGHT($B$2,1)</f>
        <v>93</v>
      </c>
      <c r="H12" s="10"/>
      <c r="I12" s="74"/>
      <c r="J12" s="74"/>
      <c r="K12" s="74"/>
      <c r="L12" s="74"/>
      <c r="M12" s="74"/>
      <c r="N12" s="74"/>
      <c r="O12" s="74"/>
      <c r="P12" s="74"/>
      <c r="Q12" s="74"/>
      <c r="R12" s="74"/>
      <c r="S12" s="74"/>
      <c r="T12" s="74"/>
      <c r="U12" s="74"/>
      <c r="V12" s="10"/>
      <c r="W12" s="74"/>
      <c r="X12" s="74"/>
      <c r="Y12" s="74"/>
      <c r="Z12" s="74"/>
      <c r="AA12" s="74"/>
      <c r="AB12" s="74"/>
      <c r="AC12" s="74"/>
      <c r="AD12" s="74"/>
      <c r="AE12" s="74"/>
      <c r="AF12" s="74"/>
      <c r="AG12" s="74"/>
      <c r="AH12" s="74"/>
      <c r="AI12" s="74"/>
      <c r="AJ12" s="10"/>
      <c r="AK12" s="74" t="s">
        <v>36</v>
      </c>
      <c r="AL12" s="74"/>
      <c r="AM12" s="74"/>
      <c r="AN12" s="74"/>
      <c r="AO12" s="74"/>
      <c r="AP12" s="74"/>
      <c r="AQ12" s="74"/>
      <c r="AR12" s="74"/>
      <c r="AS12" s="74"/>
      <c r="AT12" s="42"/>
      <c r="AU12" s="54" t="s">
        <v>100</v>
      </c>
      <c r="AV12" s="55" t="s">
        <v>102</v>
      </c>
      <c r="AW12" s="32"/>
      <c r="AX12" s="54" t="s">
        <v>101</v>
      </c>
      <c r="AY12" s="55" t="s">
        <v>103</v>
      </c>
      <c r="AZ12" s="32"/>
      <c r="BA12" s="42"/>
      <c r="BB12" s="74" t="s">
        <v>106</v>
      </c>
      <c r="BC12" s="74"/>
      <c r="BD12" s="74"/>
      <c r="BE12" s="74"/>
      <c r="BF12" s="74"/>
      <c r="BG12" s="74"/>
      <c r="BH12" s="74"/>
      <c r="BI12" s="74"/>
      <c r="BJ12" s="74"/>
      <c r="BK12" s="42"/>
      <c r="BL12" s="74" t="s">
        <v>115</v>
      </c>
      <c r="BM12" s="74"/>
      <c r="BN12" s="74"/>
      <c r="BO12" s="74"/>
      <c r="BP12" s="74"/>
      <c r="BQ12" s="74"/>
      <c r="BR12" s="74"/>
      <c r="BS12" s="74"/>
      <c r="BT12" s="74"/>
      <c r="BU12" s="42"/>
      <c r="BV12" s="64"/>
      <c r="BW12" s="64"/>
      <c r="BX12" s="64"/>
      <c r="BY12" s="64"/>
      <c r="BZ12" s="64"/>
      <c r="CA12" s="32"/>
      <c r="CB12" s="42"/>
      <c r="CC12" s="74" t="s">
        <v>146</v>
      </c>
      <c r="CD12" s="74"/>
      <c r="CE12" s="74"/>
      <c r="CF12" s="74"/>
      <c r="CG12" s="74"/>
      <c r="CH12" s="74"/>
      <c r="CI12" s="42"/>
      <c r="CJ12" s="74"/>
      <c r="CK12" s="74"/>
      <c r="CL12" s="74"/>
      <c r="CM12" s="74"/>
      <c r="CN12" s="74"/>
      <c r="CO12" s="74"/>
      <c r="CP12" s="42"/>
      <c r="CQ12" s="32" t="s">
        <v>164</v>
      </c>
      <c r="CR12" s="70">
        <f>38.3</f>
        <v>38.299999999999997</v>
      </c>
      <c r="CS12" s="70">
        <v>30</v>
      </c>
      <c r="CT12" s="32"/>
      <c r="CU12" s="32"/>
      <c r="CV12" s="32"/>
      <c r="CW12" s="42"/>
      <c r="CX12" s="67"/>
      <c r="CY12" s="67"/>
      <c r="CZ12" s="67"/>
      <c r="DA12" s="67"/>
      <c r="DB12" s="67"/>
      <c r="DC12" s="67"/>
      <c r="DD12" s="42"/>
      <c r="DE12" s="74" t="s">
        <v>184</v>
      </c>
      <c r="DF12" s="74"/>
      <c r="DG12" s="74"/>
      <c r="DH12" s="74"/>
      <c r="DI12" s="74"/>
      <c r="DJ12" s="74"/>
      <c r="DK12" s="42"/>
      <c r="DL12" s="83"/>
      <c r="DM12" s="83"/>
      <c r="DN12" s="83"/>
      <c r="DO12" s="83"/>
    </row>
    <row r="13" spans="1:119" s="3" customFormat="1" ht="18" customHeight="1" x14ac:dyDescent="0.2">
      <c r="A13" s="30" t="s">
        <v>13</v>
      </c>
      <c r="B13" s="33">
        <f>124+LEFT($B$2,1)+RIGHT($B$2,1)</f>
        <v>129</v>
      </c>
      <c r="C13" s="34">
        <f>126+LEFT($B$2,1)+RIGHT($B$2,1)</f>
        <v>131</v>
      </c>
      <c r="D13" s="33">
        <f>88+LEFT($B$2,1)+RIGHT($B$2,1)</f>
        <v>93</v>
      </c>
      <c r="H13" s="10"/>
      <c r="I13" s="74"/>
      <c r="J13" s="74"/>
      <c r="K13" s="74"/>
      <c r="L13" s="74"/>
      <c r="M13" s="74"/>
      <c r="N13" s="74"/>
      <c r="O13" s="74"/>
      <c r="P13" s="74"/>
      <c r="Q13" s="74"/>
      <c r="R13" s="74"/>
      <c r="S13" s="74"/>
      <c r="T13" s="74"/>
      <c r="U13" s="74"/>
      <c r="V13" s="10"/>
      <c r="W13" s="74"/>
      <c r="X13" s="74"/>
      <c r="Y13" s="74"/>
      <c r="Z13" s="74"/>
      <c r="AA13" s="74"/>
      <c r="AB13" s="74"/>
      <c r="AC13" s="74"/>
      <c r="AD13" s="74"/>
      <c r="AE13" s="74"/>
      <c r="AF13" s="74"/>
      <c r="AG13" s="74"/>
      <c r="AH13" s="74"/>
      <c r="AI13" s="74"/>
      <c r="AJ13" s="10"/>
      <c r="AK13" s="74"/>
      <c r="AL13" s="74"/>
      <c r="AM13" s="74"/>
      <c r="AN13" s="74"/>
      <c r="AO13" s="74"/>
      <c r="AP13" s="74"/>
      <c r="AQ13" s="74"/>
      <c r="AR13" s="74"/>
      <c r="AS13" s="74"/>
      <c r="AT13" s="42"/>
      <c r="AU13" s="56" t="s">
        <v>97</v>
      </c>
      <c r="AV13" s="57">
        <f>30+RIGHT($B$2,1)-LEFT($B$2,1)</f>
        <v>31</v>
      </c>
      <c r="AW13" s="32"/>
      <c r="AX13" s="56" t="s">
        <v>97</v>
      </c>
      <c r="AY13" s="57">
        <f>67+RIGHT($B$2,1)-2*LEFT($B$2,1)</f>
        <v>66</v>
      </c>
      <c r="AZ13" s="32"/>
      <c r="BA13" s="42"/>
      <c r="BB13" s="74"/>
      <c r="BC13" s="74"/>
      <c r="BD13" s="74"/>
      <c r="BE13" s="74"/>
      <c r="BF13" s="74"/>
      <c r="BG13" s="74"/>
      <c r="BH13" s="74"/>
      <c r="BI13" s="74"/>
      <c r="BJ13" s="74"/>
      <c r="BK13" s="42"/>
      <c r="BL13" s="32"/>
      <c r="BM13" s="32"/>
      <c r="BN13" s="32"/>
      <c r="BO13" s="32"/>
      <c r="BP13" s="32"/>
      <c r="BQ13" s="32"/>
      <c r="BR13" s="32"/>
      <c r="BS13" s="32"/>
      <c r="BT13" s="32"/>
      <c r="BU13" s="42"/>
      <c r="BV13" s="77" t="s">
        <v>140</v>
      </c>
      <c r="BW13" s="77"/>
      <c r="BX13" s="77"/>
      <c r="BY13" s="77"/>
      <c r="BZ13" s="77"/>
      <c r="CA13" s="77"/>
      <c r="CB13" s="42"/>
      <c r="CC13" s="32"/>
      <c r="CD13" s="32"/>
      <c r="CE13" s="32"/>
      <c r="CF13" s="32"/>
      <c r="CG13" s="32"/>
      <c r="CH13" s="32"/>
      <c r="CI13" s="42"/>
      <c r="CJ13" s="74"/>
      <c r="CK13" s="74"/>
      <c r="CL13" s="74"/>
      <c r="CM13" s="74"/>
      <c r="CN13" s="74"/>
      <c r="CO13" s="74"/>
      <c r="CP13" s="42"/>
      <c r="CQ13" s="32"/>
      <c r="CR13" s="32"/>
      <c r="CS13" s="32"/>
      <c r="CT13" s="32"/>
      <c r="CU13" s="32"/>
      <c r="CV13" s="32"/>
      <c r="CW13" s="42"/>
      <c r="CX13" s="74" t="s">
        <v>180</v>
      </c>
      <c r="CY13" s="74"/>
      <c r="CZ13" s="74"/>
      <c r="DA13" s="74"/>
      <c r="DB13" s="74"/>
      <c r="DC13" s="74"/>
      <c r="DD13" s="42"/>
      <c r="DE13" s="74" t="s">
        <v>185</v>
      </c>
      <c r="DF13" s="74"/>
      <c r="DG13" s="74"/>
      <c r="DH13" s="74"/>
      <c r="DI13" s="74"/>
      <c r="DJ13" s="74"/>
      <c r="DK13" s="42"/>
      <c r="DL13" s="83"/>
      <c r="DM13" s="83"/>
      <c r="DN13" s="83"/>
      <c r="DO13" s="83"/>
    </row>
    <row r="14" spans="1:119" s="3" customFormat="1" ht="18" customHeight="1" x14ac:dyDescent="0.2">
      <c r="A14" s="30" t="s">
        <v>14</v>
      </c>
      <c r="B14" s="33">
        <f>197+LEFT($B$2,1)+RIGHT($B$2,1)</f>
        <v>202</v>
      </c>
      <c r="C14" s="34">
        <f>146+LEFT($B$2,1)+RIGHT($B$2,1)</f>
        <v>151</v>
      </c>
      <c r="D14" s="33">
        <f>125+LEFT($B$2,1)+RIGHT($B$2,1)</f>
        <v>130</v>
      </c>
      <c r="H14" s="10"/>
      <c r="I14" s="32"/>
      <c r="J14" s="32"/>
      <c r="K14" s="32"/>
      <c r="L14" s="32"/>
      <c r="M14" s="32"/>
      <c r="N14" s="32"/>
      <c r="O14" s="32"/>
      <c r="P14" s="32"/>
      <c r="Q14" s="32"/>
      <c r="R14" s="32"/>
      <c r="S14" s="32"/>
      <c r="T14" s="32"/>
      <c r="U14" s="32"/>
      <c r="V14" s="10"/>
      <c r="W14" s="32"/>
      <c r="X14" s="32"/>
      <c r="Y14" s="32"/>
      <c r="Z14" s="32"/>
      <c r="AA14" s="32"/>
      <c r="AB14" s="32"/>
      <c r="AC14" s="32"/>
      <c r="AD14" s="32"/>
      <c r="AE14" s="32"/>
      <c r="AF14" s="32"/>
      <c r="AG14" s="32"/>
      <c r="AH14" s="32"/>
      <c r="AI14" s="32"/>
      <c r="AJ14" s="10"/>
      <c r="AK14" s="74" t="s">
        <v>87</v>
      </c>
      <c r="AL14" s="74"/>
      <c r="AM14" s="74"/>
      <c r="AN14" s="74"/>
      <c r="AO14" s="74"/>
      <c r="AP14" s="74"/>
      <c r="AQ14" s="74"/>
      <c r="AR14" s="74"/>
      <c r="AS14" s="74"/>
      <c r="AT14" s="42"/>
      <c r="AU14" s="56" t="s">
        <v>98</v>
      </c>
      <c r="AV14" s="57">
        <f>50-RIGHT($B$2,1)+LEFT($B$2,1)</f>
        <v>49</v>
      </c>
      <c r="AW14" s="32"/>
      <c r="AX14" s="56" t="s">
        <v>98</v>
      </c>
      <c r="AY14" s="57">
        <f>82+RIGHT($B$2,1)-LEFT($B$2,1)</f>
        <v>83</v>
      </c>
      <c r="AZ14" s="32"/>
      <c r="BA14" s="42"/>
      <c r="BB14" s="32"/>
      <c r="BC14" s="50"/>
      <c r="BD14" s="32"/>
      <c r="BE14" s="32"/>
      <c r="BF14" s="32"/>
      <c r="BG14" s="32"/>
      <c r="BH14" s="32"/>
      <c r="BI14" s="32"/>
      <c r="BJ14" s="32"/>
      <c r="BK14" s="42"/>
      <c r="BM14" s="32" t="s">
        <v>116</v>
      </c>
      <c r="BN14" s="50" t="s">
        <v>122</v>
      </c>
      <c r="BO14" s="50" t="s">
        <v>123</v>
      </c>
      <c r="BP14" s="50" t="s">
        <v>124</v>
      </c>
      <c r="BQ14" s="50" t="s">
        <v>125</v>
      </c>
      <c r="BR14" s="50" t="s">
        <v>126</v>
      </c>
      <c r="BS14" s="50" t="s">
        <v>121</v>
      </c>
      <c r="BT14" s="32"/>
      <c r="BU14" s="42"/>
      <c r="BV14" s="64"/>
      <c r="BW14" s="64"/>
      <c r="BX14" s="64"/>
      <c r="BY14" s="64"/>
      <c r="BZ14" s="64"/>
      <c r="CA14" s="32"/>
      <c r="CB14" s="42"/>
      <c r="CC14" s="74" t="s">
        <v>147</v>
      </c>
      <c r="CD14" s="74"/>
      <c r="CE14" s="74"/>
      <c r="CF14" s="74"/>
      <c r="CG14" s="74"/>
      <c r="CH14" s="74"/>
      <c r="CI14" s="42"/>
      <c r="CJ14" s="76" t="s">
        <v>158</v>
      </c>
      <c r="CK14" s="76"/>
      <c r="CL14" s="76"/>
      <c r="CM14" s="76"/>
      <c r="CN14" s="76"/>
      <c r="CO14" s="76"/>
      <c r="CP14" s="42"/>
      <c r="CQ14" s="74" t="s">
        <v>166</v>
      </c>
      <c r="CR14" s="74"/>
      <c r="CS14" s="74"/>
      <c r="CT14" s="74"/>
      <c r="CU14" s="74"/>
      <c r="CV14" s="74"/>
      <c r="CW14" s="42"/>
      <c r="CX14" s="67"/>
      <c r="CY14" s="67"/>
      <c r="CZ14" s="67"/>
      <c r="DA14" s="67"/>
      <c r="DB14" s="67"/>
      <c r="DC14" s="67"/>
      <c r="DD14" s="42"/>
      <c r="DE14" s="74" t="s">
        <v>186</v>
      </c>
      <c r="DF14" s="74"/>
      <c r="DG14" s="74"/>
      <c r="DH14" s="74"/>
      <c r="DI14" s="74"/>
      <c r="DJ14" s="74"/>
      <c r="DK14" s="42"/>
    </row>
    <row r="15" spans="1:119" s="3" customFormat="1" ht="19" customHeight="1" thickBot="1" x14ac:dyDescent="0.25">
      <c r="A15" s="30" t="s">
        <v>15</v>
      </c>
      <c r="B15" s="33">
        <f>194+LEFT($B$2,1)+RIGHT($B$2,1)</f>
        <v>199</v>
      </c>
      <c r="C15" s="34">
        <f>278+LEFT($B$2,1)+RIGHT($B$2,1)</f>
        <v>283</v>
      </c>
      <c r="D15" s="33">
        <f>335+LEFT($B$2,1)+RIGHT($B$2,1)</f>
        <v>340</v>
      </c>
      <c r="H15" s="10"/>
      <c r="I15" s="32"/>
      <c r="J15" s="32"/>
      <c r="K15" s="32"/>
      <c r="L15" s="32"/>
      <c r="M15" s="32"/>
      <c r="N15" s="32"/>
      <c r="O15" s="32"/>
      <c r="P15" s="32"/>
      <c r="Q15" s="32"/>
      <c r="R15" s="32"/>
      <c r="S15" s="32"/>
      <c r="T15" s="32"/>
      <c r="U15" s="32"/>
      <c r="V15" s="10"/>
      <c r="W15" s="32"/>
      <c r="X15" s="32"/>
      <c r="Y15" s="32"/>
      <c r="Z15" s="32"/>
      <c r="AA15" s="32"/>
      <c r="AB15" s="32"/>
      <c r="AC15" s="32"/>
      <c r="AD15" s="32"/>
      <c r="AE15" s="32"/>
      <c r="AF15" s="32"/>
      <c r="AG15" s="32"/>
      <c r="AH15" s="32"/>
      <c r="AI15" s="32"/>
      <c r="AJ15" s="10"/>
      <c r="AK15" s="74"/>
      <c r="AL15" s="74"/>
      <c r="AM15" s="74"/>
      <c r="AN15" s="74"/>
      <c r="AO15" s="74"/>
      <c r="AP15" s="74"/>
      <c r="AQ15" s="74"/>
      <c r="AR15" s="74"/>
      <c r="AS15" s="74"/>
      <c r="AT15" s="42"/>
      <c r="AU15" s="58" t="s">
        <v>99</v>
      </c>
      <c r="AV15" s="59">
        <f>100-AV14-AV13</f>
        <v>20</v>
      </c>
      <c r="AW15" s="32"/>
      <c r="AX15" s="58" t="s">
        <v>99</v>
      </c>
      <c r="AY15" s="59">
        <f>50-RIGHT($B$2,1)+LEFT($B$2,1)</f>
        <v>49</v>
      </c>
      <c r="AZ15" s="32"/>
      <c r="BA15" s="42"/>
      <c r="BB15" s="32"/>
      <c r="BC15" s="62" t="s">
        <v>108</v>
      </c>
      <c r="BD15" s="61">
        <v>0</v>
      </c>
      <c r="BE15" s="61">
        <v>1</v>
      </c>
      <c r="BF15" s="61">
        <v>2</v>
      </c>
      <c r="BG15" s="61">
        <v>3</v>
      </c>
      <c r="BH15" s="32"/>
      <c r="BI15" s="32"/>
      <c r="BJ15" s="32"/>
      <c r="BK15" s="42"/>
      <c r="BM15" s="32" t="s">
        <v>117</v>
      </c>
      <c r="BN15" s="50"/>
      <c r="BO15" s="50">
        <f>37</f>
        <v>37</v>
      </c>
      <c r="BP15" s="50">
        <f>11</f>
        <v>11</v>
      </c>
      <c r="BQ15" s="50">
        <f>92</f>
        <v>92</v>
      </c>
      <c r="BR15" s="50">
        <f>49</f>
        <v>49</v>
      </c>
      <c r="BS15" s="50"/>
      <c r="BT15" s="32"/>
      <c r="BU15" s="42"/>
      <c r="BV15" s="77" t="s">
        <v>141</v>
      </c>
      <c r="BW15" s="77"/>
      <c r="BX15" s="77"/>
      <c r="BY15" s="66">
        <f>1.92+(RIGHT($B$2,1)-2*LEFT($B$2,1))/10</f>
        <v>1.8199999999999998</v>
      </c>
      <c r="BZ15" s="77" t="s">
        <v>142</v>
      </c>
      <c r="CA15" s="77"/>
      <c r="CB15" s="42"/>
      <c r="CC15" s="32"/>
      <c r="CD15" s="32"/>
      <c r="CE15" s="32"/>
      <c r="CF15" s="32"/>
      <c r="CG15" s="32"/>
      <c r="CH15" s="32"/>
      <c r="CI15" s="42"/>
      <c r="CJ15" s="74" t="s">
        <v>159</v>
      </c>
      <c r="CK15" s="74"/>
      <c r="CL15" s="74"/>
      <c r="CM15" s="74"/>
      <c r="CN15" s="69">
        <f>0.753+(RIGHT($B$2,1)-2*LEFT($B$2,1))/1000</f>
        <v>0.752</v>
      </c>
      <c r="CO15" s="67" t="s">
        <v>156</v>
      </c>
      <c r="CP15" s="42"/>
      <c r="CQ15" s="74"/>
      <c r="CR15" s="74"/>
      <c r="CS15" s="74"/>
      <c r="CT15" s="74"/>
      <c r="CU15" s="74"/>
      <c r="CV15" s="74"/>
      <c r="CW15" s="42"/>
      <c r="CX15" s="74" t="s">
        <v>179</v>
      </c>
      <c r="CY15" s="74"/>
      <c r="CZ15" s="74"/>
      <c r="DA15" s="74"/>
      <c r="DB15" s="74"/>
      <c r="DC15" s="74"/>
      <c r="DD15" s="42"/>
      <c r="DE15" s="32"/>
      <c r="DF15" s="32"/>
      <c r="DG15" s="32"/>
      <c r="DH15" s="32"/>
      <c r="DI15" s="32"/>
      <c r="DJ15" s="32"/>
      <c r="DK15" s="42"/>
    </row>
    <row r="16" spans="1:119" s="3" customFormat="1" ht="18" customHeight="1" x14ac:dyDescent="0.2">
      <c r="A16" s="13"/>
      <c r="C16" s="6"/>
      <c r="H16" s="10"/>
      <c r="I16" s="40">
        <f>MAX(1,54+RIGHT($B$2,1)-LEFT($B$2,1))</f>
        <v>55</v>
      </c>
      <c r="J16" s="40">
        <f>MAX(1,5+RIGHT($B$2,1)-LEFT($B$2,1))</f>
        <v>6</v>
      </c>
      <c r="K16" s="40">
        <f>MAX(1,35+RIGHT($B$2,1)-LEFT($B$2,1))</f>
        <v>36</v>
      </c>
      <c r="L16" s="40">
        <f>MAX(1,137+RIGHT($B$2,1)-LEFT($B$2,1))</f>
        <v>138</v>
      </c>
      <c r="M16" s="40">
        <f>MAX(1,31+RIGHT($B$2,1)-LEFT($B$2,1))</f>
        <v>32</v>
      </c>
      <c r="N16" s="41">
        <f>MAX(1,27+RIGHT($B$2,1)-LEFT($B$2,1))</f>
        <v>28</v>
      </c>
      <c r="O16" s="40">
        <f>MAX(1,152+RIGHT($B$2,1)-LEFT($B$2,1))</f>
        <v>153</v>
      </c>
      <c r="P16" s="40">
        <f>MAX(1,2+RIGHT($B$2,1)-LEFT($B$2,1))</f>
        <v>3</v>
      </c>
      <c r="Q16" s="40">
        <f>MAX(1,123+RIGHT($B$2,1)-LEFT($B$2,1))</f>
        <v>124</v>
      </c>
      <c r="R16" s="40">
        <f>MAX(1,81+RIGHT($B$2,1)-LEFT($B$2,1))</f>
        <v>82</v>
      </c>
      <c r="S16" s="40">
        <f>MAX(1,74+RIGHT($B$2,1)-LEFT($B$2,1))</f>
        <v>75</v>
      </c>
      <c r="T16" s="40">
        <f>MAX(1,27+RIGHT($B$2,1)-LEFT($B$2,1))</f>
        <v>28</v>
      </c>
      <c r="V16" s="10"/>
      <c r="W16" s="40">
        <f>MAX(1,54+RIGHT($B$2,1)-LEFT($B$2,1))</f>
        <v>55</v>
      </c>
      <c r="X16" s="40">
        <f>MAX(1,5+RIGHT($B$2,1)-LEFT($B$2,1))</f>
        <v>6</v>
      </c>
      <c r="Y16" s="40">
        <f>MAX(1,35+RIGHT($B$2,1)-LEFT($B$2,1))</f>
        <v>36</v>
      </c>
      <c r="Z16" s="40">
        <f>MAX(1,137+RIGHT($B$2,1)-LEFT($B$2,1))</f>
        <v>138</v>
      </c>
      <c r="AA16" s="40">
        <f>MAX(1,31+RIGHT($B$2,1)-LEFT($B$2,1))</f>
        <v>32</v>
      </c>
      <c r="AB16" s="41">
        <f>MAX(1,27+RIGHT($B$2,1)-LEFT($B$2,1))</f>
        <v>28</v>
      </c>
      <c r="AC16" s="40">
        <f>MAX(1,152+RIGHT($B$2,1)-LEFT($B$2,1))</f>
        <v>153</v>
      </c>
      <c r="AD16" s="40">
        <f>MAX(1,2+RIGHT($B$2,1)-LEFT($B$2,1))</f>
        <v>3</v>
      </c>
      <c r="AE16" s="40">
        <f>MAX(1,123+RIGHT($B$2,1)-LEFT($B$2,1))</f>
        <v>124</v>
      </c>
      <c r="AF16" s="40">
        <f>MAX(1,81+RIGHT($B$2,1)-LEFT($B$2,1))</f>
        <v>82</v>
      </c>
      <c r="AG16" s="40">
        <f>MAX(1,74+RIGHT($B$2,1)-LEFT($B$2,1))</f>
        <v>75</v>
      </c>
      <c r="AH16" s="40">
        <f>MAX(1,27+RIGHT($B$2,1)-LEFT($B$2,1))</f>
        <v>28</v>
      </c>
      <c r="AJ16" s="10"/>
      <c r="AK16" s="74" t="s">
        <v>88</v>
      </c>
      <c r="AL16" s="74"/>
      <c r="AM16" s="74"/>
      <c r="AN16" s="74"/>
      <c r="AO16" s="74"/>
      <c r="AP16" s="74"/>
      <c r="AQ16" s="74"/>
      <c r="AR16" s="74"/>
      <c r="AS16" s="74"/>
      <c r="AT16" s="43"/>
      <c r="AU16" s="32"/>
      <c r="AV16" s="50"/>
      <c r="AW16" s="32"/>
      <c r="AX16" s="32"/>
      <c r="AY16" s="50"/>
      <c r="AZ16" s="32"/>
      <c r="BA16" s="43"/>
      <c r="BB16" s="32"/>
      <c r="BC16" s="63" t="s">
        <v>107</v>
      </c>
      <c r="BD16" s="60" t="s">
        <v>109</v>
      </c>
      <c r="BE16" s="60" t="s">
        <v>109</v>
      </c>
      <c r="BF16" s="60" t="s">
        <v>110</v>
      </c>
      <c r="BG16" s="60" t="s">
        <v>111</v>
      </c>
      <c r="BH16" s="32"/>
      <c r="BI16" s="32"/>
      <c r="BJ16" s="32"/>
      <c r="BK16" s="43"/>
      <c r="BM16" s="32" t="s">
        <v>118</v>
      </c>
      <c r="BN16" s="50">
        <f>35</f>
        <v>35</v>
      </c>
      <c r="BO16" s="50">
        <f>28</f>
        <v>28</v>
      </c>
      <c r="BP16" s="50"/>
      <c r="BQ16" s="50">
        <f>59</f>
        <v>59</v>
      </c>
      <c r="BR16" s="50">
        <f>28</f>
        <v>28</v>
      </c>
      <c r="BS16" s="50">
        <f>175</f>
        <v>175</v>
      </c>
      <c r="BT16" s="32"/>
      <c r="BU16" s="43"/>
      <c r="BV16" s="64"/>
      <c r="BW16" s="64"/>
      <c r="BX16" s="64"/>
      <c r="BY16" s="65"/>
      <c r="BZ16" s="64"/>
      <c r="CA16" s="32"/>
      <c r="CB16" s="43"/>
      <c r="CC16" s="74" t="s">
        <v>148</v>
      </c>
      <c r="CD16" s="74"/>
      <c r="CE16" s="74"/>
      <c r="CF16" s="74"/>
      <c r="CG16" s="74"/>
      <c r="CH16" s="74"/>
      <c r="CI16" s="43"/>
      <c r="CJ16" s="74" t="s">
        <v>157</v>
      </c>
      <c r="CK16" s="74"/>
      <c r="CL16" s="74"/>
      <c r="CM16" s="74"/>
      <c r="CN16" s="69">
        <v>4.0000000000000001E-3</v>
      </c>
      <c r="CO16" s="67" t="s">
        <v>156</v>
      </c>
      <c r="CP16" s="43"/>
      <c r="CQ16" s="32"/>
      <c r="CR16" s="32"/>
      <c r="CS16" s="32"/>
      <c r="CT16" s="32"/>
      <c r="CU16" s="32"/>
      <c r="CV16" s="32"/>
      <c r="CW16" s="43"/>
      <c r="CX16" s="67"/>
      <c r="CY16" s="67"/>
      <c r="CZ16" s="67"/>
      <c r="DA16" s="67"/>
      <c r="DB16" s="67"/>
      <c r="DC16" s="67"/>
      <c r="DD16" s="43"/>
      <c r="DE16" s="74" t="s">
        <v>187</v>
      </c>
      <c r="DF16" s="74"/>
      <c r="DG16" s="74"/>
      <c r="DH16" s="74"/>
      <c r="DI16" s="74"/>
      <c r="DJ16" s="74"/>
      <c r="DK16" s="43"/>
    </row>
    <row r="17" spans="1:115" s="3" customFormat="1" ht="19" customHeight="1" x14ac:dyDescent="0.2">
      <c r="A17" s="35" t="s">
        <v>16</v>
      </c>
      <c r="B17" s="38"/>
      <c r="C17" s="39"/>
      <c r="D17" s="38"/>
      <c r="H17" s="10"/>
      <c r="I17" s="40">
        <f>MAX(1,11+RIGHT($B$2,1)-LEFT($B$2,1))</f>
        <v>12</v>
      </c>
      <c r="J17" s="40">
        <f>MAX(1,19+RIGHT($B$2,1)-LEFT($B$2,1))</f>
        <v>20</v>
      </c>
      <c r="K17" s="40">
        <f>MAX(1,126+RIGHT($B$2,1)-LEFT($B$2,1))</f>
        <v>127</v>
      </c>
      <c r="L17" s="40">
        <f>MAX(1,110+RIGHT($B$2,1)-LEFT($B$2,1))</f>
        <v>111</v>
      </c>
      <c r="M17" s="40">
        <f>MAX(1,110+RIGHT($B$2,1)-LEFT($B$2,1))</f>
        <v>111</v>
      </c>
      <c r="N17" s="41">
        <f>MAX(1,29+RIGHT($B$2,1)-LEFT($B$2,1))</f>
        <v>30</v>
      </c>
      <c r="O17" s="40">
        <f>MAX(1,61+RIGHT($B$2,1)-LEFT($B$2,1))</f>
        <v>62</v>
      </c>
      <c r="P17" s="40">
        <f>MAX(1,35+RIGHT($B$2,1)-LEFT($B$2,1))</f>
        <v>36</v>
      </c>
      <c r="Q17" s="40">
        <f>MAX(1,94+RIGHT($B$2,1)-LEFT($B$2,1))</f>
        <v>95</v>
      </c>
      <c r="R17" s="40">
        <f>MAX(1,31+RIGHT($B$2,1)-LEFT($B$2,1))</f>
        <v>32</v>
      </c>
      <c r="S17" s="40">
        <f>MAX(1,26+RIGHT($B$2,1)-LEFT($B$2,1))</f>
        <v>27</v>
      </c>
      <c r="T17" s="40">
        <f>MAX(1,5+RIGHT($B$2,1)-LEFT($B$2,1))</f>
        <v>6</v>
      </c>
      <c r="V17" s="10"/>
      <c r="W17" s="40">
        <f>MAX(1,11+RIGHT($B$2,1)-LEFT($B$2,1))</f>
        <v>12</v>
      </c>
      <c r="X17" s="40">
        <f>MAX(1,19+RIGHT($B$2,1)-LEFT($B$2,1))</f>
        <v>20</v>
      </c>
      <c r="Y17" s="40">
        <f>MAX(1,126+RIGHT($B$2,1)-LEFT($B$2,1))</f>
        <v>127</v>
      </c>
      <c r="Z17" s="40">
        <f>MAX(1,110+RIGHT($B$2,1)-LEFT($B$2,1))</f>
        <v>111</v>
      </c>
      <c r="AA17" s="40">
        <f>MAX(1,110+RIGHT($B$2,1)-LEFT($B$2,1))</f>
        <v>111</v>
      </c>
      <c r="AB17" s="41">
        <f>MAX(1,29+RIGHT($B$2,1)-LEFT($B$2,1))</f>
        <v>30</v>
      </c>
      <c r="AC17" s="40">
        <f>MAX(1,61+RIGHT($B$2,1)-LEFT($B$2,1))</f>
        <v>62</v>
      </c>
      <c r="AD17" s="40">
        <f>MAX(1,35+RIGHT($B$2,1)-LEFT($B$2,1))</f>
        <v>36</v>
      </c>
      <c r="AE17" s="40">
        <f>MAX(1,94+RIGHT($B$2,1)-LEFT($B$2,1))</f>
        <v>95</v>
      </c>
      <c r="AF17" s="40">
        <f>MAX(1,31+RIGHT($B$2,1)-LEFT($B$2,1))</f>
        <v>32</v>
      </c>
      <c r="AG17" s="40">
        <f>MAX(1,26+RIGHT($B$2,1)-LEFT($B$2,1))</f>
        <v>27</v>
      </c>
      <c r="AH17" s="40">
        <f>MAX(1,5+RIGHT($B$2,1)-LEFT($B$2,1))</f>
        <v>6</v>
      </c>
      <c r="AJ17" s="10"/>
      <c r="AK17" s="74"/>
      <c r="AL17" s="74"/>
      <c r="AM17" s="74"/>
      <c r="AN17" s="74"/>
      <c r="AO17" s="74"/>
      <c r="AP17" s="74"/>
      <c r="AQ17" s="74"/>
      <c r="AR17" s="74"/>
      <c r="AS17" s="74"/>
      <c r="AT17" s="43"/>
      <c r="AU17" s="32"/>
      <c r="AV17" s="50"/>
      <c r="AW17" s="32"/>
      <c r="AX17" s="32"/>
      <c r="AY17" s="50"/>
      <c r="AZ17" s="32"/>
      <c r="BA17" s="43"/>
      <c r="BB17" s="32"/>
      <c r="BC17" s="32"/>
      <c r="BD17" s="32"/>
      <c r="BE17" s="32"/>
      <c r="BF17" s="32"/>
      <c r="BG17" s="32"/>
      <c r="BH17" s="32"/>
      <c r="BI17" s="32"/>
      <c r="BJ17" s="32"/>
      <c r="BK17" s="43"/>
      <c r="BM17" s="32" t="s">
        <v>119</v>
      </c>
      <c r="BN17" s="50">
        <f>36</f>
        <v>36</v>
      </c>
      <c r="BO17" s="50">
        <f>32</f>
        <v>32</v>
      </c>
      <c r="BP17" s="50">
        <f>39</f>
        <v>39</v>
      </c>
      <c r="BQ17" s="50">
        <f>43</f>
        <v>43</v>
      </c>
      <c r="BR17" s="50"/>
      <c r="BS17" s="50"/>
      <c r="BT17" s="32"/>
      <c r="BU17" s="43"/>
      <c r="BV17" s="64"/>
      <c r="BW17" s="64"/>
      <c r="BX17" s="64"/>
      <c r="BY17" s="64"/>
      <c r="BZ17" s="64"/>
      <c r="CA17" s="32"/>
      <c r="CB17" s="43"/>
      <c r="CC17" s="32"/>
      <c r="CD17" s="32"/>
      <c r="CE17" s="32"/>
      <c r="CF17" s="32"/>
      <c r="CG17" s="32"/>
      <c r="CH17" s="32"/>
      <c r="CI17" s="43"/>
      <c r="CJ17" s="67"/>
      <c r="CK17" s="67"/>
      <c r="CL17" s="67"/>
      <c r="CM17" s="67"/>
      <c r="CN17" s="67"/>
      <c r="CO17" s="67"/>
      <c r="CP17" s="43"/>
      <c r="CQ17" s="74" t="s">
        <v>169</v>
      </c>
      <c r="CR17" s="74"/>
      <c r="CS17" s="74"/>
      <c r="CT17" s="74"/>
      <c r="CU17" s="74"/>
      <c r="CV17" s="74"/>
      <c r="CW17" s="43"/>
      <c r="CX17" s="74" t="s">
        <v>181</v>
      </c>
      <c r="CY17" s="74"/>
      <c r="CZ17" s="74"/>
      <c r="DA17" s="74"/>
      <c r="DB17" s="74"/>
      <c r="DC17" s="74"/>
      <c r="DD17" s="43"/>
      <c r="DE17" s="74"/>
      <c r="DF17" s="74"/>
      <c r="DG17" s="74"/>
      <c r="DH17" s="74"/>
      <c r="DI17" s="74"/>
      <c r="DJ17" s="74"/>
      <c r="DK17" s="43"/>
    </row>
    <row r="18" spans="1:115" s="3" customFormat="1" ht="18" customHeight="1" x14ac:dyDescent="0.2">
      <c r="A18" s="30" t="s">
        <v>17</v>
      </c>
      <c r="B18" s="33">
        <f>108+LEFT($B$2,1)+RIGHT($B$2,1)</f>
        <v>113</v>
      </c>
      <c r="C18" s="33">
        <f>53+LEFT($B$2,1)+RIGHT($B$2,1)</f>
        <v>58</v>
      </c>
      <c r="D18" s="33">
        <f>144+LEFT($B$2,1)+RIGHT($B$2,1)</f>
        <v>149</v>
      </c>
      <c r="H18" s="10"/>
      <c r="I18" s="40">
        <f>MAX(1,12+RIGHT($B$2,1)-LEFT($B$2,1))</f>
        <v>13</v>
      </c>
      <c r="J18" s="40">
        <f>MAX(1,4+RIGHT($B$2,1)-LEFT($B$2,1))</f>
        <v>5</v>
      </c>
      <c r="K18" s="40">
        <f>MAX(1,165+RIGHT($B$2,1)-LEFT($B$2,1))</f>
        <v>166</v>
      </c>
      <c r="L18" s="40">
        <f>MAX(1,32+RIGHT($B$2,1)-LEFT($B$2,1))</f>
        <v>33</v>
      </c>
      <c r="M18" s="40">
        <f>MAX(1,29+RIGHT($B$2,1)-LEFT($B$2,1))</f>
        <v>30</v>
      </c>
      <c r="N18" s="41">
        <f>MAX(1,28+RIGHT($B$2,1)-LEFT($B$2,1))</f>
        <v>29</v>
      </c>
      <c r="O18" s="40">
        <f>MAX(1,29+RIGHT($B$2,1)-LEFT($B$2,1))</f>
        <v>30</v>
      </c>
      <c r="P18" s="40">
        <f>MAX(1,26+RIGHT($B$2,1)-LEFT($B$2,1))</f>
        <v>27</v>
      </c>
      <c r="Q18" s="40">
        <f>MAX(1,25+RIGHT($B$2,1)-LEFT($B$2,1))</f>
        <v>26</v>
      </c>
      <c r="R18" s="40">
        <f>MAX(1,1+RIGHT($B$2,1)-LEFT($B$2,1))</f>
        <v>2</v>
      </c>
      <c r="S18" s="40">
        <f>MAX(1,14+RIGHT($B$2,1)-LEFT($B$2,1))</f>
        <v>15</v>
      </c>
      <c r="T18" s="40">
        <f>MAX(1,13+RIGHT($B$2,1)-LEFT($B$2,1))</f>
        <v>14</v>
      </c>
      <c r="V18" s="10"/>
      <c r="W18" s="40">
        <f>MAX(1,12+RIGHT($B$2,1)-LEFT($B$2,1))</f>
        <v>13</v>
      </c>
      <c r="X18" s="40">
        <f>MAX(1,4+RIGHT($B$2,1)-LEFT($B$2,1))</f>
        <v>5</v>
      </c>
      <c r="Y18" s="40">
        <f>MAX(1,165+RIGHT($B$2,1)-LEFT($B$2,1))</f>
        <v>166</v>
      </c>
      <c r="Z18" s="40">
        <f>MAX(1,32+RIGHT($B$2,1)-LEFT($B$2,1))</f>
        <v>33</v>
      </c>
      <c r="AA18" s="40">
        <f>MAX(1,29+RIGHT($B$2,1)-LEFT($B$2,1))</f>
        <v>30</v>
      </c>
      <c r="AB18" s="41">
        <f>MAX(1,28+RIGHT($B$2,1)-LEFT($B$2,1))</f>
        <v>29</v>
      </c>
      <c r="AC18" s="40">
        <f>MAX(1,29+RIGHT($B$2,1)-LEFT($B$2,1))</f>
        <v>30</v>
      </c>
      <c r="AD18" s="40">
        <f>MAX(1,26+RIGHT($B$2,1)-LEFT($B$2,1))</f>
        <v>27</v>
      </c>
      <c r="AE18" s="40">
        <f>MAX(1,25+RIGHT($B$2,1)-LEFT($B$2,1))</f>
        <v>26</v>
      </c>
      <c r="AF18" s="40">
        <f>MAX(1,1+RIGHT($B$2,1)-LEFT($B$2,1))</f>
        <v>2</v>
      </c>
      <c r="AG18" s="40">
        <f>MAX(1,14+RIGHT($B$2,1)-LEFT($B$2,1))</f>
        <v>15</v>
      </c>
      <c r="AH18" s="40">
        <f>MAX(1,13+RIGHT($B$2,1)-LEFT($B$2,1))</f>
        <v>14</v>
      </c>
      <c r="AJ18" s="10"/>
      <c r="AK18" s="74" t="s">
        <v>89</v>
      </c>
      <c r="AL18" s="74"/>
      <c r="AM18" s="74"/>
      <c r="AN18" s="74"/>
      <c r="AO18" s="74"/>
      <c r="AP18" s="74"/>
      <c r="AQ18" s="74"/>
      <c r="AR18" s="74"/>
      <c r="AS18" s="74"/>
      <c r="AT18" s="43"/>
      <c r="AU18" s="32"/>
      <c r="AV18" s="50"/>
      <c r="AW18" s="32"/>
      <c r="AX18" s="32"/>
      <c r="AY18" s="50"/>
      <c r="AZ18" s="32"/>
      <c r="BA18" s="43"/>
      <c r="BB18" s="74" t="s">
        <v>112</v>
      </c>
      <c r="BC18" s="74"/>
      <c r="BD18" s="74"/>
      <c r="BE18" s="74"/>
      <c r="BF18" s="74"/>
      <c r="BG18" s="74"/>
      <c r="BH18" s="74"/>
      <c r="BI18" s="74"/>
      <c r="BJ18" s="74"/>
      <c r="BK18" s="43"/>
      <c r="BM18" s="32" t="s">
        <v>120</v>
      </c>
      <c r="BN18" s="50">
        <f>48</f>
        <v>48</v>
      </c>
      <c r="BO18" s="50">
        <f>38</f>
        <v>38</v>
      </c>
      <c r="BP18" s="50">
        <f>22</f>
        <v>22</v>
      </c>
      <c r="BQ18" s="50"/>
      <c r="BR18" s="50">
        <f>14</f>
        <v>14</v>
      </c>
      <c r="BS18" s="50">
        <f>153</f>
        <v>153</v>
      </c>
      <c r="BT18" s="32"/>
      <c r="BU18" s="43"/>
      <c r="BV18" s="32"/>
      <c r="BW18" s="50"/>
      <c r="BX18" s="32"/>
      <c r="BY18" s="32"/>
      <c r="BZ18" s="50"/>
      <c r="CA18" s="32"/>
      <c r="CB18" s="43"/>
      <c r="CC18" s="32"/>
      <c r="CD18" s="32"/>
      <c r="CE18" s="32"/>
      <c r="CF18" s="32"/>
      <c r="CG18" s="32"/>
      <c r="CH18" s="32"/>
      <c r="CI18" s="43"/>
      <c r="CJ18" s="74" t="s">
        <v>160</v>
      </c>
      <c r="CK18" s="74"/>
      <c r="CL18" s="74"/>
      <c r="CM18" s="74"/>
      <c r="CN18" s="74"/>
      <c r="CO18" s="74"/>
      <c r="CP18" s="43"/>
      <c r="CQ18" s="74"/>
      <c r="CR18" s="74"/>
      <c r="CS18" s="74"/>
      <c r="CT18" s="74"/>
      <c r="CU18" s="74"/>
      <c r="CV18" s="74"/>
      <c r="CW18" s="43"/>
      <c r="CX18" s="74"/>
      <c r="CY18" s="74"/>
      <c r="CZ18" s="74"/>
      <c r="DA18" s="74"/>
      <c r="DB18" s="74"/>
      <c r="DC18" s="74"/>
      <c r="DD18" s="43"/>
      <c r="DE18" s="74"/>
      <c r="DF18" s="74"/>
      <c r="DG18" s="74"/>
      <c r="DH18" s="74"/>
      <c r="DI18" s="74"/>
      <c r="DJ18" s="74"/>
      <c r="DK18" s="43"/>
    </row>
    <row r="19" spans="1:115" s="3" customFormat="1" ht="19" customHeight="1" x14ac:dyDescent="0.2">
      <c r="A19" s="30" t="s">
        <v>21</v>
      </c>
      <c r="B19" s="33">
        <f>298+LEFT($B$2,1)+RIGHT($B$2,1)</f>
        <v>303</v>
      </c>
      <c r="C19" s="33">
        <f>147+LEFT($B$2,1)+RIGHT($B$2,1)</f>
        <v>152</v>
      </c>
      <c r="D19" s="33">
        <f>127+LEFT($B$2,1)+RIGHT($B$2,1)</f>
        <v>132</v>
      </c>
      <c r="H19" s="10"/>
      <c r="I19" s="40">
        <f>MAX(1,13+RIGHT($B$2,1)-LEFT($B$2,1))</f>
        <v>14</v>
      </c>
      <c r="J19" s="40">
        <f>MAX(1,10+RIGHT($B$2,1)-LEFT($B$2,1))</f>
        <v>11</v>
      </c>
      <c r="K19" s="40">
        <f>MAX(1,5+RIGHT($B$2,1)-LEFT($B$2,1))</f>
        <v>6</v>
      </c>
      <c r="L19" s="40">
        <f>MAX(1,27+RIGHT($B$2,1)-LEFT($B$2,1))</f>
        <v>28</v>
      </c>
      <c r="M19" s="40">
        <f>MAX(1,4+RIGHT($B$2,1)-LEFT($B$2,1))</f>
        <v>5</v>
      </c>
      <c r="N19" s="41">
        <f>MAX(1,52+RIGHT($B$2,1)-LEFT($B$2,1))</f>
        <v>53</v>
      </c>
      <c r="O19" s="40">
        <f>MAX(1,30+RIGHT($B$2,1)-LEFT($B$2,1))</f>
        <v>31</v>
      </c>
      <c r="P19" s="40">
        <f>MAX(1,22+RIGHT($B$2,1)-LEFT($B$2,1))</f>
        <v>23</v>
      </c>
      <c r="Q19" s="40">
        <f>MAX(1,36+RIGHT($B$2,1)-LEFT($B$2,1))</f>
        <v>37</v>
      </c>
      <c r="R19" s="40">
        <f>MAX(1,26+RIGHT($B$2,1)-LEFT($B$2,1))</f>
        <v>27</v>
      </c>
      <c r="S19" s="40">
        <f>MAX(1,20+RIGHT($B$2,1)-LEFT($B$2,1))</f>
        <v>21</v>
      </c>
      <c r="T19" s="40">
        <f>MAX(1,23+RIGHT($B$2,1)-LEFT($B$2,1))</f>
        <v>24</v>
      </c>
      <c r="V19" s="10"/>
      <c r="W19" s="40">
        <f>MAX(1,13+RIGHT($B$2,1)-LEFT($B$2,1))</f>
        <v>14</v>
      </c>
      <c r="X19" s="40">
        <f>MAX(1,10+RIGHT($B$2,1)-LEFT($B$2,1))</f>
        <v>11</v>
      </c>
      <c r="Y19" s="40">
        <f>MAX(1,5+RIGHT($B$2,1)-LEFT($B$2,1))</f>
        <v>6</v>
      </c>
      <c r="Z19" s="40">
        <f>MAX(1,27+RIGHT($B$2,1)-LEFT($B$2,1))</f>
        <v>28</v>
      </c>
      <c r="AA19" s="40">
        <f>MAX(1,4+RIGHT($B$2,1)-LEFT($B$2,1))</f>
        <v>5</v>
      </c>
      <c r="AB19" s="41">
        <f>MAX(1,52+RIGHT($B$2,1)-LEFT($B$2,1))</f>
        <v>53</v>
      </c>
      <c r="AC19" s="40">
        <f>MAX(1,30+RIGHT($B$2,1)-LEFT($B$2,1))</f>
        <v>31</v>
      </c>
      <c r="AD19" s="40">
        <f>MAX(1,22+RIGHT($B$2,1)-LEFT($B$2,1))</f>
        <v>23</v>
      </c>
      <c r="AE19" s="40">
        <f>MAX(1,36+RIGHT($B$2,1)-LEFT($B$2,1))</f>
        <v>37</v>
      </c>
      <c r="AF19" s="40">
        <f>MAX(1,26+RIGHT($B$2,1)-LEFT($B$2,1))</f>
        <v>27</v>
      </c>
      <c r="AG19" s="40">
        <f>MAX(1,20+RIGHT($B$2,1)-LEFT($B$2,1))</f>
        <v>21</v>
      </c>
      <c r="AH19" s="40">
        <f>MAX(1,23+RIGHT($B$2,1)-LEFT($B$2,1))</f>
        <v>24</v>
      </c>
      <c r="AJ19" s="10"/>
      <c r="AK19" s="74"/>
      <c r="AL19" s="74"/>
      <c r="AM19" s="74"/>
      <c r="AN19" s="74"/>
      <c r="AO19" s="74"/>
      <c r="AP19" s="74"/>
      <c r="AQ19" s="74"/>
      <c r="AR19" s="74"/>
      <c r="AS19" s="74"/>
      <c r="AT19" s="43"/>
      <c r="AU19" s="32"/>
      <c r="AV19" s="50"/>
      <c r="AW19" s="32"/>
      <c r="AX19" s="32"/>
      <c r="AY19" s="50"/>
      <c r="AZ19" s="32"/>
      <c r="BA19" s="43"/>
      <c r="BB19" s="74"/>
      <c r="BC19" s="74"/>
      <c r="BD19" s="74"/>
      <c r="BE19" s="74"/>
      <c r="BF19" s="74"/>
      <c r="BG19" s="74"/>
      <c r="BH19" s="74"/>
      <c r="BI19" s="74"/>
      <c r="BJ19" s="74"/>
      <c r="BK19" s="43"/>
      <c r="BM19" s="32" t="s">
        <v>121</v>
      </c>
      <c r="BN19" s="50">
        <f>142</f>
        <v>142</v>
      </c>
      <c r="BO19" s="50"/>
      <c r="BP19" s="50">
        <f>97</f>
        <v>97</v>
      </c>
      <c r="BQ19" s="50">
        <f>225</f>
        <v>225</v>
      </c>
      <c r="BR19" s="50">
        <f>131</f>
        <v>131</v>
      </c>
      <c r="BS19" s="50">
        <f>730</f>
        <v>730</v>
      </c>
      <c r="BT19" s="32"/>
      <c r="BU19" s="43"/>
      <c r="BV19" s="32"/>
      <c r="BW19" s="50"/>
      <c r="BX19" s="32"/>
      <c r="BY19" s="32"/>
      <c r="BZ19" s="50"/>
      <c r="CA19" s="32"/>
      <c r="CB19" s="43"/>
      <c r="CC19" s="32"/>
      <c r="CD19" s="50"/>
      <c r="CE19" s="32"/>
      <c r="CF19" s="32"/>
      <c r="CG19" s="50"/>
      <c r="CH19" s="32"/>
      <c r="CI19" s="43"/>
      <c r="CP19" s="43"/>
      <c r="CQ19" s="74" t="s">
        <v>170</v>
      </c>
      <c r="CR19" s="74"/>
      <c r="CS19" s="74"/>
      <c r="CT19" s="74"/>
      <c r="CU19" s="74"/>
      <c r="CV19" s="74"/>
      <c r="CW19" s="43"/>
      <c r="CX19" s="74" t="s">
        <v>182</v>
      </c>
      <c r="CY19" s="74"/>
      <c r="CZ19" s="74"/>
      <c r="DA19" s="74"/>
      <c r="DB19" s="74"/>
      <c r="DC19" s="74"/>
      <c r="DD19" s="43"/>
      <c r="DE19" s="74" t="s">
        <v>188</v>
      </c>
      <c r="DF19" s="74"/>
      <c r="DG19" s="74"/>
      <c r="DH19" s="74"/>
      <c r="DI19" s="74"/>
      <c r="DJ19" s="74"/>
      <c r="DK19" s="43"/>
    </row>
    <row r="20" spans="1:115" s="3" customFormat="1" ht="19" customHeight="1" x14ac:dyDescent="0.2">
      <c r="A20" s="30" t="s">
        <v>22</v>
      </c>
      <c r="B20" s="33">
        <f>12+LEFT($B$2,1)+RIGHT($B$2,1)</f>
        <v>17</v>
      </c>
      <c r="C20" s="33">
        <f>32+LEFT($B$2,1)+RIGHT($B$2,1)</f>
        <v>37</v>
      </c>
      <c r="D20" s="33">
        <f>16+LEFT($B$2,1)+RIGHT($B$2,1)</f>
        <v>21</v>
      </c>
      <c r="H20" s="10"/>
      <c r="I20" s="40">
        <f>MAX(1,33+RIGHT($B$2,1)-LEFT($B$2,1))</f>
        <v>34</v>
      </c>
      <c r="J20" s="40">
        <f>MAX(1,68+RIGHT($B$2,1)-LEFT($B$2,1))</f>
        <v>69</v>
      </c>
      <c r="K20" s="40"/>
      <c r="L20" s="40"/>
      <c r="M20" s="40"/>
      <c r="N20" s="40"/>
      <c r="O20" s="40"/>
      <c r="P20" s="40"/>
      <c r="Q20" s="40"/>
      <c r="R20" s="40"/>
      <c r="S20" s="40"/>
      <c r="T20" s="41"/>
      <c r="V20" s="10"/>
      <c r="W20" s="40">
        <f>MAX(1,33+RIGHT($B$2,1)-LEFT($B$2,1))</f>
        <v>34</v>
      </c>
      <c r="X20" s="40">
        <f>MAX(1,68+RIGHT($B$2,1)-LEFT($B$2,1))</f>
        <v>69</v>
      </c>
      <c r="Y20" s="40"/>
      <c r="Z20" s="40"/>
      <c r="AA20" s="40"/>
      <c r="AB20" s="40"/>
      <c r="AC20" s="40"/>
      <c r="AD20" s="40"/>
      <c r="AE20" s="40"/>
      <c r="AF20" s="40"/>
      <c r="AG20" s="40"/>
      <c r="AH20" s="41"/>
      <c r="AJ20" s="10"/>
      <c r="AK20" s="29"/>
      <c r="AL20" s="29"/>
      <c r="AM20" s="29"/>
      <c r="AN20" s="29"/>
      <c r="AO20" s="29"/>
      <c r="AP20" s="29"/>
      <c r="AQ20" s="29"/>
      <c r="AR20" s="29"/>
      <c r="AS20" s="29"/>
      <c r="AT20" s="43"/>
      <c r="AU20" s="32"/>
      <c r="AV20" s="50"/>
      <c r="AW20" s="32"/>
      <c r="AX20" s="32"/>
      <c r="AY20" s="50"/>
      <c r="AZ20" s="32"/>
      <c r="BA20" s="43"/>
      <c r="BB20" s="32"/>
      <c r="BC20" s="32"/>
      <c r="BD20" s="32"/>
      <c r="BE20" s="32"/>
      <c r="BF20" s="32"/>
      <c r="BG20" s="32"/>
      <c r="BH20" s="32"/>
      <c r="BI20" s="32"/>
      <c r="BJ20" s="32"/>
      <c r="BK20" s="43"/>
      <c r="BL20" s="32"/>
      <c r="BM20" s="32"/>
      <c r="BN20" s="32"/>
      <c r="BO20" s="32"/>
      <c r="BP20" s="32"/>
      <c r="BQ20" s="32"/>
      <c r="BR20" s="32"/>
      <c r="BS20" s="32"/>
      <c r="BT20" s="32"/>
      <c r="BU20" s="43"/>
      <c r="BV20" s="32"/>
      <c r="BW20" s="50"/>
      <c r="BX20" s="32"/>
      <c r="BY20" s="32"/>
      <c r="BZ20" s="50"/>
      <c r="CA20" s="32"/>
      <c r="CB20" s="43"/>
      <c r="CC20" s="32"/>
      <c r="CD20" s="50"/>
      <c r="CE20" s="32"/>
      <c r="CF20" s="32"/>
      <c r="CG20" s="50"/>
      <c r="CH20" s="32"/>
      <c r="CI20" s="43"/>
      <c r="CJ20" s="74" t="s">
        <v>151</v>
      </c>
      <c r="CK20" s="74"/>
      <c r="CL20" s="74"/>
      <c r="CM20" s="74"/>
      <c r="CN20" s="74"/>
      <c r="CO20" s="74"/>
      <c r="CP20" s="43"/>
      <c r="CQ20" s="74"/>
      <c r="CR20" s="74"/>
      <c r="CS20" s="74"/>
      <c r="CT20" s="74"/>
      <c r="CU20" s="74"/>
      <c r="CV20" s="74"/>
      <c r="CW20" s="43"/>
      <c r="CX20" s="74"/>
      <c r="CY20" s="74"/>
      <c r="CZ20" s="74"/>
      <c r="DA20" s="74"/>
      <c r="DB20" s="74"/>
      <c r="DC20" s="74"/>
      <c r="DD20" s="43"/>
      <c r="DE20" s="74" t="s">
        <v>189</v>
      </c>
      <c r="DF20" s="74"/>
      <c r="DG20" s="74"/>
      <c r="DH20" s="74"/>
      <c r="DI20" s="74"/>
      <c r="DJ20" s="74"/>
      <c r="DK20" s="43"/>
    </row>
    <row r="21" spans="1:115" s="3" customFormat="1" ht="18" customHeight="1" x14ac:dyDescent="0.2">
      <c r="A21" s="30" t="s">
        <v>20</v>
      </c>
      <c r="B21" s="33">
        <f>183+LEFT($B$2,1)+RIGHT($B$2,1)</f>
        <v>188</v>
      </c>
      <c r="C21" s="33">
        <f>251+LEFT($B$2,1)+RIGHT($B$2,1)</f>
        <v>256</v>
      </c>
      <c r="D21" s="33">
        <f>70+LEFT($B$2,1)+RIGHT($B$2,1)</f>
        <v>75</v>
      </c>
      <c r="H21" s="10"/>
      <c r="I21" s="5"/>
      <c r="T21" s="6"/>
      <c r="V21" s="10"/>
      <c r="W21" s="5"/>
      <c r="AH21" s="6"/>
      <c r="AJ21" s="10"/>
      <c r="AK21" s="74" t="s">
        <v>90</v>
      </c>
      <c r="AL21" s="74"/>
      <c r="AM21" s="74"/>
      <c r="AN21" s="74"/>
      <c r="AO21" s="74"/>
      <c r="AP21" s="74"/>
      <c r="AQ21" s="74"/>
      <c r="AR21" s="74"/>
      <c r="AS21" s="74"/>
      <c r="AT21" s="10"/>
      <c r="AU21" s="32"/>
      <c r="AV21" s="50"/>
      <c r="AW21" s="32"/>
      <c r="AX21" s="32"/>
      <c r="AY21" s="50"/>
      <c r="AZ21" s="32"/>
      <c r="BA21" s="10"/>
      <c r="BB21" s="32"/>
      <c r="BC21" s="32"/>
      <c r="BD21" s="32"/>
      <c r="BE21" s="32"/>
      <c r="BF21" s="32"/>
      <c r="BG21" s="32"/>
      <c r="BH21" s="32"/>
      <c r="BI21" s="32"/>
      <c r="BJ21" s="32"/>
      <c r="BK21" s="10"/>
      <c r="BL21" s="74" t="s">
        <v>127</v>
      </c>
      <c r="BM21" s="74"/>
      <c r="BN21" s="74"/>
      <c r="BO21" s="74"/>
      <c r="BP21" s="74"/>
      <c r="BQ21" s="74"/>
      <c r="BR21" s="74"/>
      <c r="BS21" s="74"/>
      <c r="BT21" s="74"/>
      <c r="BU21" s="10"/>
      <c r="BV21" s="32"/>
      <c r="BW21" s="50"/>
      <c r="BX21" s="32"/>
      <c r="BY21" s="32"/>
      <c r="BZ21" s="50"/>
      <c r="CA21" s="32"/>
      <c r="CB21" s="10"/>
      <c r="CC21" s="32"/>
      <c r="CD21" s="50"/>
      <c r="CE21" s="32"/>
      <c r="CF21" s="32"/>
      <c r="CG21" s="50"/>
      <c r="CH21" s="32"/>
      <c r="CI21" s="10"/>
      <c r="CJ21" s="32"/>
      <c r="CK21" s="32"/>
      <c r="CL21" s="32"/>
      <c r="CM21" s="32"/>
      <c r="CN21" s="32"/>
      <c r="CO21" s="32"/>
      <c r="CP21" s="10"/>
      <c r="CQ21" s="74" t="s">
        <v>171</v>
      </c>
      <c r="CR21" s="74"/>
      <c r="CS21" s="74"/>
      <c r="CT21" s="74"/>
      <c r="CU21" s="74"/>
      <c r="CV21" s="74"/>
      <c r="CW21" s="10"/>
      <c r="CX21" s="74"/>
      <c r="CY21" s="74"/>
      <c r="CZ21" s="74"/>
      <c r="DA21" s="74"/>
      <c r="DB21" s="74"/>
      <c r="DC21" s="74"/>
      <c r="DD21" s="10"/>
      <c r="DE21" s="74" t="s">
        <v>190</v>
      </c>
      <c r="DF21" s="74"/>
      <c r="DG21" s="74"/>
      <c r="DH21" s="74"/>
      <c r="DI21" s="74"/>
      <c r="DJ21" s="74"/>
      <c r="DK21" s="10"/>
    </row>
    <row r="22" spans="1:115" s="11" customFormat="1" ht="18" x14ac:dyDescent="0.2">
      <c r="A22" s="30" t="s">
        <v>19</v>
      </c>
      <c r="B22" s="33">
        <f>63+LEFT($B$2,1)+RIGHT($B$2,1)</f>
        <v>68</v>
      </c>
      <c r="C22" s="33">
        <f>75+LEFT($B$2,1)+RIGHT($B$2,1)</f>
        <v>80</v>
      </c>
      <c r="D22" s="33">
        <f>49+LEFT($B$2,1)+RIGHT($B$2,1)</f>
        <v>54</v>
      </c>
      <c r="E22" s="3"/>
      <c r="F22" s="3"/>
      <c r="G22" s="3"/>
      <c r="H22" s="12"/>
      <c r="I22" s="81" t="s">
        <v>30</v>
      </c>
      <c r="J22" s="81"/>
      <c r="K22" s="81"/>
      <c r="L22" s="81"/>
      <c r="M22" s="81"/>
      <c r="N22" s="81"/>
      <c r="O22" s="81"/>
      <c r="P22" s="81"/>
      <c r="Q22" s="81"/>
      <c r="R22" s="81"/>
      <c r="S22" s="81"/>
      <c r="T22" s="81"/>
      <c r="U22" s="81"/>
      <c r="V22" s="12"/>
      <c r="W22" s="81" t="s">
        <v>35</v>
      </c>
      <c r="X22" s="81"/>
      <c r="Y22" s="81"/>
      <c r="Z22" s="81"/>
      <c r="AA22" s="81"/>
      <c r="AB22" s="81"/>
      <c r="AC22" s="81"/>
      <c r="AD22" s="81"/>
      <c r="AE22" s="81"/>
      <c r="AF22" s="81"/>
      <c r="AG22" s="81"/>
      <c r="AH22" s="81"/>
      <c r="AI22" s="81"/>
      <c r="AJ22" s="12"/>
      <c r="AK22" s="74"/>
      <c r="AL22" s="74"/>
      <c r="AM22" s="74"/>
      <c r="AN22" s="74"/>
      <c r="AO22" s="74"/>
      <c r="AP22" s="74"/>
      <c r="AQ22" s="74"/>
      <c r="AR22" s="74"/>
      <c r="AS22" s="74"/>
      <c r="AT22" s="17"/>
      <c r="AU22" s="32"/>
      <c r="AV22" s="50"/>
      <c r="AW22" s="32"/>
      <c r="AX22" s="32"/>
      <c r="AY22" s="50"/>
      <c r="AZ22" s="32"/>
      <c r="BA22" s="17"/>
      <c r="BB22" s="32"/>
      <c r="BC22" s="32"/>
      <c r="BD22" s="32"/>
      <c r="BE22" s="32"/>
      <c r="BF22" s="32"/>
      <c r="BG22" s="32"/>
      <c r="BH22" s="32"/>
      <c r="BI22" s="32"/>
      <c r="BJ22" s="32"/>
      <c r="BK22" s="17"/>
      <c r="BL22" s="32"/>
      <c r="BM22" s="32"/>
      <c r="BN22" s="32"/>
      <c r="BO22" s="32"/>
      <c r="BP22" s="32"/>
      <c r="BQ22" s="32"/>
      <c r="BR22" s="32"/>
      <c r="BS22" s="32"/>
      <c r="BT22" s="32"/>
      <c r="BU22" s="17"/>
      <c r="BV22" s="32"/>
      <c r="BW22" s="50"/>
      <c r="BX22" s="32"/>
      <c r="BY22" s="32"/>
      <c r="BZ22" s="50"/>
      <c r="CA22" s="32"/>
      <c r="CB22" s="17"/>
      <c r="CC22" s="32"/>
      <c r="CD22" s="50"/>
      <c r="CE22" s="32"/>
      <c r="CF22" s="32"/>
      <c r="CG22" s="50"/>
      <c r="CH22" s="32"/>
      <c r="CI22" s="17"/>
      <c r="CJ22" s="74" t="s">
        <v>152</v>
      </c>
      <c r="CK22" s="74"/>
      <c r="CL22" s="74"/>
      <c r="CM22" s="74"/>
      <c r="CN22" s="74"/>
      <c r="CO22" s="74"/>
      <c r="CP22" s="17"/>
      <c r="CQ22" s="74"/>
      <c r="CR22" s="74"/>
      <c r="CS22" s="74"/>
      <c r="CT22" s="74"/>
      <c r="CU22" s="74"/>
      <c r="CV22" s="74"/>
      <c r="CW22" s="17"/>
      <c r="CX22" s="32"/>
      <c r="CY22" s="32"/>
      <c r="CZ22" s="32"/>
      <c r="DA22" s="32"/>
      <c r="DB22" s="32"/>
      <c r="DC22" s="32"/>
      <c r="DD22" s="17"/>
      <c r="DK22" s="17"/>
    </row>
    <row r="23" spans="1:115" s="11" customFormat="1" ht="18" customHeight="1" x14ac:dyDescent="0.2">
      <c r="A23" s="30" t="s">
        <v>18</v>
      </c>
      <c r="B23" s="33">
        <f>47+LEFT($B$2,1)+RIGHT($B$2,1)</f>
        <v>52</v>
      </c>
      <c r="C23" s="33">
        <f>19+LEFT($B$2,1)+RIGHT($B$2,1)</f>
        <v>24</v>
      </c>
      <c r="D23" s="33">
        <f>24+LEFT($B$2,1)+RIGHT($B$2,1)</f>
        <v>29</v>
      </c>
      <c r="H23" s="12"/>
      <c r="I23" s="5"/>
      <c r="J23" s="3"/>
      <c r="K23" s="3"/>
      <c r="L23" s="3"/>
      <c r="M23" s="3"/>
      <c r="N23" s="3"/>
      <c r="O23" s="3"/>
      <c r="P23" s="3"/>
      <c r="Q23" s="3"/>
      <c r="R23" s="3"/>
      <c r="S23" s="3"/>
      <c r="T23" s="6"/>
      <c r="V23" s="12"/>
      <c r="W23" s="5"/>
      <c r="X23" s="3"/>
      <c r="Y23" s="3"/>
      <c r="Z23" s="3"/>
      <c r="AA23" s="3"/>
      <c r="AB23" s="3"/>
      <c r="AC23" s="3"/>
      <c r="AD23" s="3"/>
      <c r="AE23" s="3"/>
      <c r="AF23" s="3"/>
      <c r="AG23" s="3"/>
      <c r="AH23" s="6"/>
      <c r="AJ23" s="12"/>
      <c r="AK23" s="29"/>
      <c r="AL23" s="29"/>
      <c r="AM23" s="29"/>
      <c r="AN23" s="29"/>
      <c r="AO23" s="29"/>
      <c r="AP23" s="29"/>
      <c r="AQ23" s="29"/>
      <c r="AR23" s="29"/>
      <c r="AS23" s="29"/>
      <c r="AT23" s="10"/>
      <c r="AU23" s="32"/>
      <c r="AV23" s="50"/>
      <c r="AW23" s="32"/>
      <c r="AX23" s="32"/>
      <c r="AY23" s="50"/>
      <c r="AZ23" s="32"/>
      <c r="BA23" s="10"/>
      <c r="BB23" s="32"/>
      <c r="BC23" s="32"/>
      <c r="BD23" s="32"/>
      <c r="BE23" s="32"/>
      <c r="BF23" s="32"/>
      <c r="BG23" s="32"/>
      <c r="BH23" s="32"/>
      <c r="BI23" s="32"/>
      <c r="BJ23" s="32"/>
      <c r="BK23" s="10"/>
      <c r="BL23" s="74" t="s">
        <v>128</v>
      </c>
      <c r="BM23" s="74"/>
      <c r="BN23" s="74"/>
      <c r="BO23" s="74"/>
      <c r="BP23" s="74"/>
      <c r="BQ23" s="74"/>
      <c r="BR23" s="74"/>
      <c r="BS23" s="74"/>
      <c r="BT23" s="74"/>
      <c r="BU23" s="10"/>
      <c r="BV23" s="32"/>
      <c r="BW23" s="50"/>
      <c r="BX23" s="32"/>
      <c r="BY23" s="32"/>
      <c r="BZ23" s="50"/>
      <c r="CA23" s="32"/>
      <c r="CB23" s="10"/>
      <c r="CC23" s="32"/>
      <c r="CD23" s="50"/>
      <c r="CE23" s="32"/>
      <c r="CF23" s="32"/>
      <c r="CG23" s="50"/>
      <c r="CH23" s="32"/>
      <c r="CI23" s="10"/>
      <c r="CJ23" s="32"/>
      <c r="CK23" s="32"/>
      <c r="CL23" s="32"/>
      <c r="CM23" s="32"/>
      <c r="CN23" s="32"/>
      <c r="CO23" s="32"/>
      <c r="CP23" s="10"/>
      <c r="CQ23" s="74" t="s">
        <v>172</v>
      </c>
      <c r="CR23" s="74"/>
      <c r="CS23" s="74"/>
      <c r="CT23" s="74"/>
      <c r="CU23" s="74"/>
      <c r="CV23" s="74"/>
      <c r="CW23" s="10"/>
      <c r="CX23" s="32"/>
      <c r="CY23" s="32"/>
      <c r="CZ23" s="32"/>
      <c r="DA23" s="32"/>
      <c r="DB23" s="32"/>
      <c r="DC23" s="32"/>
      <c r="DD23" s="10"/>
      <c r="DE23" s="74" t="s">
        <v>191</v>
      </c>
      <c r="DF23" s="74"/>
      <c r="DG23" s="74"/>
      <c r="DH23" s="74"/>
      <c r="DI23" s="74"/>
      <c r="DJ23" s="74"/>
      <c r="DK23" s="10"/>
    </row>
    <row r="24" spans="1:115" s="11" customFormat="1" ht="18" customHeight="1" x14ac:dyDescent="0.2">
      <c r="A24" s="30" t="s">
        <v>23</v>
      </c>
      <c r="B24" s="33">
        <f>77+LEFT($B$2,1)+RIGHT($B$2,1)</f>
        <v>82</v>
      </c>
      <c r="C24" s="33">
        <f>17+LEFT($B$2,1)+RIGHT($B$2,1)</f>
        <v>22</v>
      </c>
      <c r="D24" s="33">
        <f>25+LEFT($B$2,1)+RIGHT($B$2,1)</f>
        <v>30</v>
      </c>
      <c r="H24" s="12"/>
      <c r="I24" s="81" t="s">
        <v>31</v>
      </c>
      <c r="J24" s="81"/>
      <c r="K24" s="81"/>
      <c r="L24" s="81"/>
      <c r="M24" s="81"/>
      <c r="N24" s="81"/>
      <c r="O24" s="81"/>
      <c r="P24" s="81"/>
      <c r="Q24" s="81"/>
      <c r="R24" s="81"/>
      <c r="S24" s="81"/>
      <c r="T24" s="81"/>
      <c r="U24" s="81"/>
      <c r="V24" s="12"/>
      <c r="W24" s="81" t="s">
        <v>36</v>
      </c>
      <c r="X24" s="81"/>
      <c r="Y24" s="81"/>
      <c r="Z24" s="81"/>
      <c r="AA24" s="81"/>
      <c r="AB24" s="81"/>
      <c r="AC24" s="81"/>
      <c r="AD24" s="81"/>
      <c r="AE24" s="81"/>
      <c r="AF24" s="81"/>
      <c r="AG24" s="81"/>
      <c r="AH24" s="81"/>
      <c r="AI24" s="81"/>
      <c r="AJ24" s="12"/>
      <c r="AK24" s="74" t="s">
        <v>91</v>
      </c>
      <c r="AL24" s="74"/>
      <c r="AM24" s="74"/>
      <c r="AN24" s="74"/>
      <c r="AO24" s="74"/>
      <c r="AP24" s="74"/>
      <c r="AQ24" s="74"/>
      <c r="AR24" s="74"/>
      <c r="AS24" s="74"/>
      <c r="AT24" s="17"/>
      <c r="AU24" s="32"/>
      <c r="AV24" s="50"/>
      <c r="AW24" s="32"/>
      <c r="AX24" s="32"/>
      <c r="AY24" s="50"/>
      <c r="AZ24" s="32"/>
      <c r="BA24" s="17"/>
      <c r="BB24" s="32"/>
      <c r="BC24" s="32"/>
      <c r="BD24" s="32"/>
      <c r="BE24" s="32"/>
      <c r="BF24" s="32"/>
      <c r="BG24" s="32"/>
      <c r="BH24" s="32"/>
      <c r="BI24" s="32"/>
      <c r="BJ24" s="32"/>
      <c r="BK24" s="17"/>
      <c r="BL24" s="32"/>
      <c r="BM24" s="32"/>
      <c r="BN24" s="32"/>
      <c r="BO24" s="32"/>
      <c r="BP24" s="32"/>
      <c r="BQ24" s="32"/>
      <c r="BR24" s="32"/>
      <c r="BS24" s="32"/>
      <c r="BT24" s="32"/>
      <c r="BU24" s="17"/>
      <c r="BV24" s="32"/>
      <c r="BW24" s="50"/>
      <c r="BX24" s="32"/>
      <c r="BY24" s="32"/>
      <c r="BZ24" s="50"/>
      <c r="CA24" s="32"/>
      <c r="CB24" s="17"/>
      <c r="CC24" s="32"/>
      <c r="CD24" s="50"/>
      <c r="CE24" s="32"/>
      <c r="CF24" s="32"/>
      <c r="CG24" s="50"/>
      <c r="CH24" s="32"/>
      <c r="CI24" s="17"/>
      <c r="CJ24" s="74" t="s">
        <v>153</v>
      </c>
      <c r="CK24" s="74"/>
      <c r="CL24" s="74"/>
      <c r="CM24" s="74"/>
      <c r="CN24" s="74"/>
      <c r="CO24" s="74"/>
      <c r="CP24" s="17"/>
      <c r="CQ24" s="74"/>
      <c r="CR24" s="74"/>
      <c r="CS24" s="74"/>
      <c r="CT24" s="74"/>
      <c r="CU24" s="74"/>
      <c r="CV24" s="74"/>
      <c r="CW24" s="17"/>
      <c r="CX24" s="32"/>
      <c r="CY24" s="68"/>
      <c r="CZ24" s="32"/>
      <c r="DA24" s="32"/>
      <c r="DB24" s="68"/>
      <c r="DC24" s="32"/>
      <c r="DD24" s="17"/>
      <c r="DE24" s="74"/>
      <c r="DF24" s="74"/>
      <c r="DG24" s="74"/>
      <c r="DH24" s="74"/>
      <c r="DI24" s="74"/>
      <c r="DJ24" s="74"/>
      <c r="DK24" s="17"/>
    </row>
    <row r="25" spans="1:115" s="11" customFormat="1" ht="18" customHeight="1" x14ac:dyDescent="0.2">
      <c r="H25" s="12"/>
      <c r="I25" s="5"/>
      <c r="J25" s="3"/>
      <c r="K25" s="3"/>
      <c r="L25" s="3"/>
      <c r="M25" s="3"/>
      <c r="N25" s="3"/>
      <c r="O25" s="3"/>
      <c r="P25" s="3"/>
      <c r="Q25" s="3"/>
      <c r="R25" s="3"/>
      <c r="S25" s="3"/>
      <c r="T25" s="6"/>
      <c r="V25" s="12"/>
      <c r="W25" s="5"/>
      <c r="X25" s="3"/>
      <c r="Y25" s="3"/>
      <c r="Z25" s="3"/>
      <c r="AA25" s="3"/>
      <c r="AB25" s="3"/>
      <c r="AC25" s="3"/>
      <c r="AD25" s="3"/>
      <c r="AE25" s="3"/>
      <c r="AF25" s="3"/>
      <c r="AG25" s="3"/>
      <c r="AH25" s="6"/>
      <c r="AJ25" s="12"/>
      <c r="AK25" s="74"/>
      <c r="AL25" s="74"/>
      <c r="AM25" s="74"/>
      <c r="AN25" s="74"/>
      <c r="AO25" s="74"/>
      <c r="AP25" s="74"/>
      <c r="AQ25" s="74"/>
      <c r="AR25" s="74"/>
      <c r="AS25" s="74"/>
      <c r="AT25" s="10"/>
      <c r="AU25" s="32"/>
      <c r="AV25" s="50"/>
      <c r="AW25" s="32"/>
      <c r="AX25" s="32"/>
      <c r="AY25" s="50"/>
      <c r="AZ25" s="32"/>
      <c r="BA25" s="10"/>
      <c r="BB25" s="32"/>
      <c r="BC25" s="32"/>
      <c r="BD25" s="32"/>
      <c r="BE25" s="32"/>
      <c r="BF25" s="32"/>
      <c r="BG25" s="32"/>
      <c r="BH25" s="32"/>
      <c r="BI25" s="32"/>
      <c r="BJ25" s="32"/>
      <c r="BK25" s="10"/>
      <c r="BL25" s="74" t="s">
        <v>129</v>
      </c>
      <c r="BM25" s="74"/>
      <c r="BN25" s="74"/>
      <c r="BO25" s="74"/>
      <c r="BP25" s="74"/>
      <c r="BQ25" s="74"/>
      <c r="BR25" s="74"/>
      <c r="BS25" s="74"/>
      <c r="BT25" s="74"/>
      <c r="BU25" s="10"/>
      <c r="BV25" s="32"/>
      <c r="BW25" s="50"/>
      <c r="BX25" s="32"/>
      <c r="BY25" s="32"/>
      <c r="BZ25" s="50"/>
      <c r="CA25" s="32"/>
      <c r="CB25" s="10"/>
      <c r="CC25" s="32"/>
      <c r="CD25" s="50"/>
      <c r="CE25" s="32"/>
      <c r="CF25" s="32"/>
      <c r="CG25" s="50"/>
      <c r="CH25" s="32"/>
      <c r="CI25" s="10"/>
      <c r="CJ25" s="32"/>
      <c r="CK25" s="32"/>
      <c r="CL25" s="32"/>
      <c r="CM25" s="32"/>
      <c r="CN25" s="32"/>
      <c r="CO25" s="32"/>
      <c r="CP25" s="10"/>
      <c r="CQ25" s="74" t="s">
        <v>173</v>
      </c>
      <c r="CR25" s="74"/>
      <c r="CS25" s="74"/>
      <c r="CT25" s="74"/>
      <c r="CU25" s="74"/>
      <c r="CV25" s="74"/>
      <c r="CW25" s="10"/>
      <c r="CX25" s="32"/>
      <c r="CY25" s="68"/>
      <c r="CZ25" s="32"/>
      <c r="DA25" s="32"/>
      <c r="DB25" s="68"/>
      <c r="DC25" s="32"/>
      <c r="DD25" s="10"/>
      <c r="DE25" s="32"/>
      <c r="DF25" s="68"/>
      <c r="DG25" s="32"/>
      <c r="DH25" s="32"/>
      <c r="DI25" s="68"/>
      <c r="DJ25" s="32"/>
      <c r="DK25" s="10"/>
    </row>
    <row r="26" spans="1:115" s="11" customFormat="1" ht="18" customHeight="1" x14ac:dyDescent="0.2">
      <c r="A26" s="74" t="s">
        <v>25</v>
      </c>
      <c r="B26" s="74"/>
      <c r="C26" s="74"/>
      <c r="D26" s="74"/>
      <c r="E26" s="74"/>
      <c r="F26" s="74"/>
      <c r="G26" s="74"/>
      <c r="H26" s="12"/>
      <c r="I26" s="81" t="s">
        <v>32</v>
      </c>
      <c r="J26" s="81"/>
      <c r="K26" s="81"/>
      <c r="L26" s="81"/>
      <c r="M26" s="81"/>
      <c r="N26" s="81"/>
      <c r="O26" s="81"/>
      <c r="P26" s="81"/>
      <c r="Q26" s="81"/>
      <c r="R26" s="81"/>
      <c r="S26" s="81"/>
      <c r="T26" s="81"/>
      <c r="U26" s="81"/>
      <c r="V26" s="12"/>
      <c r="W26" s="81" t="s">
        <v>37</v>
      </c>
      <c r="X26" s="81"/>
      <c r="Y26" s="81"/>
      <c r="Z26" s="81"/>
      <c r="AA26" s="81"/>
      <c r="AB26" s="81"/>
      <c r="AC26" s="81"/>
      <c r="AD26" s="81"/>
      <c r="AE26" s="81"/>
      <c r="AF26" s="81"/>
      <c r="AG26" s="81"/>
      <c r="AH26" s="81"/>
      <c r="AI26" s="81"/>
      <c r="AJ26" s="12"/>
      <c r="AK26" s="29"/>
      <c r="AL26" s="29"/>
      <c r="AM26" s="29"/>
      <c r="AN26" s="29"/>
      <c r="AO26" s="29"/>
      <c r="AP26" s="29"/>
      <c r="AQ26" s="29"/>
      <c r="AR26" s="29"/>
      <c r="AS26" s="29"/>
      <c r="AT26" s="17"/>
      <c r="AU26" s="32"/>
      <c r="AV26" s="50"/>
      <c r="AW26" s="32"/>
      <c r="AX26" s="32"/>
      <c r="AY26" s="50"/>
      <c r="AZ26" s="32"/>
      <c r="BA26" s="17"/>
      <c r="BB26" s="32"/>
      <c r="BC26" s="32"/>
      <c r="BD26" s="32"/>
      <c r="BE26" s="32"/>
      <c r="BF26" s="32"/>
      <c r="BG26" s="32"/>
      <c r="BH26" s="32"/>
      <c r="BI26" s="32"/>
      <c r="BJ26" s="32"/>
      <c r="BK26" s="17"/>
      <c r="BL26" s="32"/>
      <c r="BM26" s="32"/>
      <c r="BN26" s="32"/>
      <c r="BO26" s="32"/>
      <c r="BP26" s="32"/>
      <c r="BQ26" s="32"/>
      <c r="BR26" s="32"/>
      <c r="BS26" s="32"/>
      <c r="BT26" s="32"/>
      <c r="BU26" s="17"/>
      <c r="BV26" s="32"/>
      <c r="BW26" s="50"/>
      <c r="BX26" s="32"/>
      <c r="BY26" s="32"/>
      <c r="BZ26" s="50"/>
      <c r="CA26" s="32"/>
      <c r="CB26" s="17"/>
      <c r="CC26" s="32"/>
      <c r="CD26" s="50"/>
      <c r="CE26" s="32"/>
      <c r="CF26" s="32"/>
      <c r="CG26" s="50"/>
      <c r="CH26" s="32"/>
      <c r="CI26" s="17"/>
      <c r="CJ26" s="74" t="s">
        <v>154</v>
      </c>
      <c r="CK26" s="74"/>
      <c r="CL26" s="74"/>
      <c r="CM26" s="74"/>
      <c r="CN26" s="74"/>
      <c r="CO26" s="74"/>
      <c r="CP26" s="17"/>
      <c r="CQ26" s="74"/>
      <c r="CR26" s="74"/>
      <c r="CS26" s="74"/>
      <c r="CT26" s="74"/>
      <c r="CU26" s="74"/>
      <c r="CV26" s="74"/>
      <c r="CW26" s="17"/>
      <c r="DD26" s="17"/>
      <c r="DK26" s="17"/>
    </row>
    <row r="27" spans="1:115" s="11" customFormat="1" ht="16" customHeight="1" x14ac:dyDescent="0.2">
      <c r="A27" s="74"/>
      <c r="B27" s="74"/>
      <c r="C27" s="74"/>
      <c r="D27" s="74"/>
      <c r="E27" s="74"/>
      <c r="F27" s="74"/>
      <c r="G27" s="74"/>
      <c r="H27" s="12"/>
      <c r="V27" s="12"/>
      <c r="AJ27" s="12"/>
      <c r="AK27" s="74" t="s">
        <v>92</v>
      </c>
      <c r="AL27" s="74"/>
      <c r="AM27" s="74"/>
      <c r="AN27" s="74"/>
      <c r="AO27" s="74"/>
      <c r="AP27" s="74"/>
      <c r="AQ27" s="74"/>
      <c r="AR27" s="74"/>
      <c r="AS27" s="74"/>
      <c r="AT27" s="12"/>
      <c r="AU27" s="32"/>
      <c r="AV27" s="50"/>
      <c r="AW27" s="32"/>
      <c r="AX27" s="32"/>
      <c r="AY27" s="50"/>
      <c r="AZ27" s="32"/>
      <c r="BA27" s="12"/>
      <c r="BB27" s="32"/>
      <c r="BC27" s="32"/>
      <c r="BD27" s="32"/>
      <c r="BE27" s="32"/>
      <c r="BF27" s="32"/>
      <c r="BG27" s="32"/>
      <c r="BH27" s="32"/>
      <c r="BI27" s="32"/>
      <c r="BJ27" s="32"/>
      <c r="BK27" s="12"/>
      <c r="BL27" s="74" t="s">
        <v>130</v>
      </c>
      <c r="BM27" s="74"/>
      <c r="BN27" s="74"/>
      <c r="BO27" s="74"/>
      <c r="BP27" s="74"/>
      <c r="BQ27" s="74"/>
      <c r="BR27" s="74"/>
      <c r="BS27" s="74"/>
      <c r="BT27" s="74"/>
      <c r="BU27" s="12"/>
      <c r="BV27" s="32"/>
      <c r="BW27" s="50"/>
      <c r="BX27" s="32"/>
      <c r="BY27" s="32"/>
      <c r="BZ27" s="50"/>
      <c r="CA27" s="32"/>
      <c r="CB27" s="12"/>
      <c r="CC27" s="32"/>
      <c r="CD27" s="50"/>
      <c r="CE27" s="32"/>
      <c r="CF27" s="32"/>
      <c r="CG27" s="50"/>
      <c r="CH27" s="32"/>
      <c r="CI27" s="12"/>
      <c r="CJ27" s="67"/>
      <c r="CK27" s="67"/>
      <c r="CL27" s="67"/>
      <c r="CM27" s="67"/>
      <c r="CN27" s="67"/>
      <c r="CO27" s="67"/>
      <c r="CP27" s="12"/>
      <c r="CQ27" s="74" t="s">
        <v>174</v>
      </c>
      <c r="CR27" s="74"/>
      <c r="CS27" s="74"/>
      <c r="CT27" s="74"/>
      <c r="CU27" s="74"/>
      <c r="CV27" s="74"/>
      <c r="CW27" s="12"/>
      <c r="DD27" s="12"/>
      <c r="DK27" s="12"/>
    </row>
    <row r="28" spans="1:115" s="11" customFormat="1" ht="18" customHeight="1" x14ac:dyDescent="0.2">
      <c r="A28" s="74"/>
      <c r="B28" s="74"/>
      <c r="C28" s="74"/>
      <c r="D28" s="74"/>
      <c r="E28" s="74"/>
      <c r="F28" s="74"/>
      <c r="G28" s="74"/>
      <c r="H28" s="12"/>
      <c r="I28" s="74" t="s">
        <v>33</v>
      </c>
      <c r="J28" s="74"/>
      <c r="K28" s="74"/>
      <c r="L28" s="74"/>
      <c r="M28" s="74"/>
      <c r="N28" s="74"/>
      <c r="O28" s="74"/>
      <c r="P28" s="74"/>
      <c r="Q28" s="74"/>
      <c r="R28" s="74"/>
      <c r="S28" s="74"/>
      <c r="T28" s="74"/>
      <c r="U28" s="74"/>
      <c r="V28" s="12"/>
      <c r="W28" s="74" t="s">
        <v>33</v>
      </c>
      <c r="X28" s="74"/>
      <c r="Y28" s="74"/>
      <c r="Z28" s="74"/>
      <c r="AA28" s="74"/>
      <c r="AB28" s="74"/>
      <c r="AC28" s="74"/>
      <c r="AD28" s="74"/>
      <c r="AE28" s="74"/>
      <c r="AF28" s="74"/>
      <c r="AG28" s="74"/>
      <c r="AH28" s="74"/>
      <c r="AI28" s="74"/>
      <c r="AJ28" s="12"/>
      <c r="AK28" s="74"/>
      <c r="AL28" s="74"/>
      <c r="AM28" s="74"/>
      <c r="AN28" s="74"/>
      <c r="AO28" s="74"/>
      <c r="AP28" s="74"/>
      <c r="AQ28" s="74"/>
      <c r="AR28" s="74"/>
      <c r="AS28" s="74"/>
      <c r="AT28" s="42"/>
      <c r="AU28" s="32"/>
      <c r="AV28" s="50"/>
      <c r="AW28" s="32"/>
      <c r="AX28" s="32"/>
      <c r="AY28" s="50"/>
      <c r="AZ28" s="32"/>
      <c r="BA28" s="42"/>
      <c r="BB28" s="32"/>
      <c r="BC28" s="32"/>
      <c r="BD28" s="32"/>
      <c r="BE28" s="32"/>
      <c r="BF28" s="32"/>
      <c r="BG28" s="32"/>
      <c r="BH28" s="32"/>
      <c r="BI28" s="32"/>
      <c r="BJ28" s="32"/>
      <c r="BK28" s="42"/>
      <c r="BL28" s="32"/>
      <c r="BM28" s="32"/>
      <c r="BN28" s="32"/>
      <c r="BO28" s="32"/>
      <c r="BP28" s="32"/>
      <c r="BQ28" s="32"/>
      <c r="BR28" s="32"/>
      <c r="BS28" s="32"/>
      <c r="BT28" s="32"/>
      <c r="BU28" s="42"/>
      <c r="BV28" s="32"/>
      <c r="BW28" s="50"/>
      <c r="BX28" s="32"/>
      <c r="BY28" s="32"/>
      <c r="BZ28" s="50"/>
      <c r="CA28" s="32"/>
      <c r="CB28" s="42"/>
      <c r="CC28" s="32"/>
      <c r="CD28" s="50"/>
      <c r="CE28" s="32"/>
      <c r="CF28" s="32"/>
      <c r="CG28" s="50"/>
      <c r="CH28" s="32"/>
      <c r="CI28" s="42"/>
      <c r="CJ28" s="3"/>
      <c r="CK28" s="3"/>
      <c r="CL28" s="3"/>
      <c r="CM28" s="3"/>
      <c r="CN28" s="3"/>
      <c r="CO28" s="3"/>
      <c r="CP28" s="42"/>
      <c r="CQ28" s="74"/>
      <c r="CR28" s="74"/>
      <c r="CS28" s="74"/>
      <c r="CT28" s="74"/>
      <c r="CU28" s="74"/>
      <c r="CV28" s="74"/>
      <c r="CW28" s="42"/>
      <c r="DD28" s="42"/>
      <c r="DK28" s="42"/>
    </row>
    <row r="29" spans="1:115" s="11" customFormat="1" ht="16" customHeight="1" x14ac:dyDescent="0.2">
      <c r="A29" s="74" t="s">
        <v>26</v>
      </c>
      <c r="B29" s="74"/>
      <c r="C29" s="74"/>
      <c r="D29" s="74"/>
      <c r="E29" s="74"/>
      <c r="F29" s="74"/>
      <c r="G29" s="74"/>
      <c r="H29" s="12"/>
      <c r="I29" s="74"/>
      <c r="J29" s="74"/>
      <c r="K29" s="74"/>
      <c r="L29" s="74"/>
      <c r="M29" s="74"/>
      <c r="N29" s="74"/>
      <c r="O29" s="74"/>
      <c r="P29" s="74"/>
      <c r="Q29" s="74"/>
      <c r="R29" s="74"/>
      <c r="S29" s="74"/>
      <c r="T29" s="74"/>
      <c r="U29" s="74"/>
      <c r="V29" s="12"/>
      <c r="W29" s="74"/>
      <c r="X29" s="74"/>
      <c r="Y29" s="74"/>
      <c r="Z29" s="74"/>
      <c r="AA29" s="74"/>
      <c r="AB29" s="74"/>
      <c r="AC29" s="74"/>
      <c r="AD29" s="74"/>
      <c r="AE29" s="74"/>
      <c r="AF29" s="74"/>
      <c r="AG29" s="74"/>
      <c r="AH29" s="74"/>
      <c r="AI29" s="74"/>
      <c r="AJ29" s="12"/>
      <c r="AK29" s="40"/>
      <c r="AL29" s="40"/>
      <c r="AM29" s="40"/>
      <c r="AN29" s="40"/>
      <c r="AO29" s="40"/>
      <c r="AP29" s="41"/>
      <c r="AQ29" s="40"/>
      <c r="AR29" s="40"/>
      <c r="AS29" s="40"/>
      <c r="AT29" s="42"/>
      <c r="AU29" s="32"/>
      <c r="AV29" s="50"/>
      <c r="AW29" s="32"/>
      <c r="AX29" s="32"/>
      <c r="AY29" s="50"/>
      <c r="AZ29" s="32"/>
      <c r="BA29" s="42"/>
      <c r="BB29" s="32"/>
      <c r="BC29" s="32"/>
      <c r="BD29" s="32"/>
      <c r="BE29" s="32"/>
      <c r="BF29" s="32"/>
      <c r="BG29" s="32"/>
      <c r="BH29" s="32"/>
      <c r="BI29" s="32"/>
      <c r="BJ29" s="32"/>
      <c r="BK29" s="42"/>
      <c r="BL29" s="74" t="s">
        <v>131</v>
      </c>
      <c r="BM29" s="74"/>
      <c r="BN29" s="74"/>
      <c r="BO29" s="74"/>
      <c r="BP29" s="74"/>
      <c r="BQ29" s="74"/>
      <c r="BR29" s="74"/>
      <c r="BS29" s="74"/>
      <c r="BT29" s="74"/>
      <c r="BU29" s="42"/>
      <c r="BV29" s="32"/>
      <c r="BW29" s="50"/>
      <c r="BX29" s="32"/>
      <c r="BY29" s="32"/>
      <c r="BZ29" s="50"/>
      <c r="CA29" s="32"/>
      <c r="CB29" s="42"/>
      <c r="CC29" s="32"/>
      <c r="CD29" s="50"/>
      <c r="CE29" s="32"/>
      <c r="CF29" s="32"/>
      <c r="CG29" s="50"/>
      <c r="CH29" s="32"/>
      <c r="CI29" s="42"/>
      <c r="CJ29" s="74" t="s">
        <v>155</v>
      </c>
      <c r="CK29" s="74"/>
      <c r="CL29" s="74"/>
      <c r="CM29" s="74"/>
      <c r="CN29" s="74"/>
      <c r="CO29" s="74"/>
      <c r="CP29" s="42"/>
      <c r="CQ29" s="74"/>
      <c r="CR29" s="74"/>
      <c r="CS29" s="74"/>
      <c r="CT29" s="74"/>
      <c r="CU29" s="74"/>
      <c r="CV29" s="74"/>
      <c r="CW29" s="42"/>
      <c r="DD29" s="42"/>
      <c r="DK29" s="42"/>
    </row>
    <row r="30" spans="1:115" s="11" customFormat="1" ht="18" customHeight="1" x14ac:dyDescent="0.2">
      <c r="A30" s="74"/>
      <c r="B30" s="74"/>
      <c r="C30" s="74"/>
      <c r="D30" s="74"/>
      <c r="E30" s="74"/>
      <c r="F30" s="74"/>
      <c r="G30" s="74"/>
      <c r="H30" s="12"/>
      <c r="I30" s="74"/>
      <c r="J30" s="74"/>
      <c r="K30" s="74"/>
      <c r="L30" s="74"/>
      <c r="M30" s="74"/>
      <c r="N30" s="74"/>
      <c r="O30" s="74"/>
      <c r="P30" s="74"/>
      <c r="Q30" s="74"/>
      <c r="R30" s="74"/>
      <c r="S30" s="74"/>
      <c r="T30" s="74"/>
      <c r="U30" s="74"/>
      <c r="V30" s="12"/>
      <c r="W30" s="74"/>
      <c r="X30" s="74"/>
      <c r="Y30" s="74"/>
      <c r="Z30" s="74"/>
      <c r="AA30" s="74"/>
      <c r="AB30" s="74"/>
      <c r="AC30" s="74"/>
      <c r="AD30" s="74"/>
      <c r="AE30" s="74"/>
      <c r="AF30" s="74"/>
      <c r="AG30" s="74"/>
      <c r="AH30" s="74"/>
      <c r="AI30" s="74"/>
      <c r="AJ30" s="12"/>
      <c r="AK30" s="48" t="s">
        <v>80</v>
      </c>
      <c r="AL30" s="49" t="s">
        <v>81</v>
      </c>
      <c r="AM30" s="33"/>
      <c r="AN30" s="48" t="s">
        <v>80</v>
      </c>
      <c r="AO30" s="49" t="s">
        <v>82</v>
      </c>
      <c r="AP30" s="34"/>
      <c r="AQ30" s="48" t="s">
        <v>80</v>
      </c>
      <c r="AR30" s="49" t="s">
        <v>83</v>
      </c>
      <c r="AS30" s="40"/>
      <c r="AT30" s="42"/>
      <c r="AU30" s="32"/>
      <c r="AV30" s="50"/>
      <c r="AW30" s="32"/>
      <c r="AX30" s="32"/>
      <c r="AY30" s="50"/>
      <c r="AZ30" s="32"/>
      <c r="BA30" s="42"/>
      <c r="BB30" s="32"/>
      <c r="BC30" s="32"/>
      <c r="BD30" s="32"/>
      <c r="BE30" s="32"/>
      <c r="BF30" s="32"/>
      <c r="BG30" s="32"/>
      <c r="BH30" s="32"/>
      <c r="BI30" s="32"/>
      <c r="BJ30" s="32"/>
      <c r="BK30" s="42"/>
      <c r="BL30" s="32"/>
      <c r="BM30" s="32"/>
      <c r="BN30" s="32"/>
      <c r="BO30" s="32"/>
      <c r="BP30" s="32"/>
      <c r="BQ30" s="32"/>
      <c r="BR30" s="32"/>
      <c r="BS30" s="32"/>
      <c r="BT30" s="32"/>
      <c r="BU30" s="42"/>
      <c r="BV30" s="32"/>
      <c r="BW30" s="50"/>
      <c r="BX30" s="32"/>
      <c r="BY30" s="32"/>
      <c r="BZ30" s="50"/>
      <c r="CA30" s="32"/>
      <c r="CB30" s="42"/>
      <c r="CC30" s="32"/>
      <c r="CD30" s="50"/>
      <c r="CE30" s="32"/>
      <c r="CF30" s="32"/>
      <c r="CG30" s="50"/>
      <c r="CH30" s="32"/>
      <c r="CI30" s="42"/>
      <c r="CJ30" s="74"/>
      <c r="CK30" s="74"/>
      <c r="CL30" s="74"/>
      <c r="CM30" s="74"/>
      <c r="CN30" s="74"/>
      <c r="CO30" s="74"/>
      <c r="CP30" s="42"/>
      <c r="CQ30" s="32"/>
      <c r="CR30" s="68"/>
      <c r="CS30" s="32"/>
      <c r="CT30" s="32"/>
      <c r="CU30" s="68"/>
      <c r="CV30" s="32"/>
      <c r="CW30" s="42"/>
      <c r="DD30" s="42"/>
      <c r="DK30" s="42"/>
    </row>
    <row r="31" spans="1:115" s="11" customFormat="1" ht="16" customHeight="1" x14ac:dyDescent="0.2">
      <c r="A31" s="74"/>
      <c r="B31" s="74"/>
      <c r="C31" s="74"/>
      <c r="D31" s="74"/>
      <c r="E31" s="74"/>
      <c r="F31" s="74"/>
      <c r="G31" s="74"/>
      <c r="H31" s="12"/>
      <c r="V31" s="12"/>
      <c r="AJ31" s="12"/>
      <c r="AK31" s="44" t="s">
        <v>38</v>
      </c>
      <c r="AL31" s="45">
        <f>23+RIGHT($B$2,1)-LEFT($B$2,1)</f>
        <v>24</v>
      </c>
      <c r="AM31" s="30"/>
      <c r="AN31" s="44" t="s">
        <v>39</v>
      </c>
      <c r="AO31" s="45">
        <f>28+RIGHT($B$2,1)-LEFT($B$2,1)</f>
        <v>29</v>
      </c>
      <c r="AP31" s="30"/>
      <c r="AQ31" s="44" t="s">
        <v>44</v>
      </c>
      <c r="AR31" s="45">
        <f>63+RIGHT($B$2,1)-LEFT($B$2,1)</f>
        <v>64</v>
      </c>
      <c r="AS31" s="40"/>
      <c r="AT31" s="12"/>
      <c r="AU31" s="32"/>
      <c r="AV31" s="50"/>
      <c r="AW31" s="32"/>
      <c r="AX31" s="32"/>
      <c r="AY31" s="50"/>
      <c r="AZ31" s="32"/>
      <c r="BA31" s="12"/>
      <c r="BB31" s="32"/>
      <c r="BC31" s="32"/>
      <c r="BD31" s="32"/>
      <c r="BE31" s="32"/>
      <c r="BF31" s="32"/>
      <c r="BG31" s="32"/>
      <c r="BH31" s="32"/>
      <c r="BI31" s="32"/>
      <c r="BJ31" s="32"/>
      <c r="BK31" s="12"/>
      <c r="BL31" s="74" t="s">
        <v>132</v>
      </c>
      <c r="BM31" s="74"/>
      <c r="BN31" s="74"/>
      <c r="BO31" s="74"/>
      <c r="BP31" s="74"/>
      <c r="BQ31" s="74"/>
      <c r="BR31" s="74"/>
      <c r="BS31" s="74"/>
      <c r="BT31" s="74"/>
      <c r="BU31" s="12"/>
      <c r="BV31" s="32"/>
      <c r="BW31" s="50"/>
      <c r="BX31" s="32"/>
      <c r="BY31" s="32"/>
      <c r="BZ31" s="50"/>
      <c r="CA31" s="32"/>
      <c r="CB31" s="12"/>
      <c r="CC31" s="32"/>
      <c r="CD31" s="50"/>
      <c r="CE31" s="32"/>
      <c r="CF31" s="32"/>
      <c r="CG31" s="50"/>
      <c r="CH31" s="32"/>
      <c r="CI31" s="12"/>
      <c r="CP31" s="12"/>
      <c r="CQ31" s="32"/>
      <c r="CR31" s="68"/>
      <c r="CS31" s="32"/>
      <c r="CT31" s="32"/>
      <c r="CU31" s="68"/>
      <c r="CV31" s="32"/>
      <c r="CW31" s="12"/>
      <c r="DD31" s="12"/>
      <c r="DK31" s="12"/>
    </row>
    <row r="32" spans="1:115" s="11" customFormat="1" ht="16" customHeight="1" x14ac:dyDescent="0.2">
      <c r="A32" s="84" t="s">
        <v>27</v>
      </c>
      <c r="B32" s="84"/>
      <c r="C32" s="84"/>
      <c r="D32" s="84"/>
      <c r="E32" s="84"/>
      <c r="F32" s="84"/>
      <c r="G32" s="84"/>
      <c r="H32" s="12"/>
      <c r="V32" s="12"/>
      <c r="AJ32" s="12"/>
      <c r="AK32" s="44" t="s">
        <v>39</v>
      </c>
      <c r="AL32" s="45">
        <f>27+RIGHT($B$2,1)-LEFT($B$2,1)</f>
        <v>28</v>
      </c>
      <c r="AM32" s="30"/>
      <c r="AN32" s="44" t="s">
        <v>44</v>
      </c>
      <c r="AO32" s="45">
        <f>44+RIGHT($B$2,1)-LEFT($B$2,1)</f>
        <v>45</v>
      </c>
      <c r="AP32" s="30"/>
      <c r="AQ32" s="44" t="s">
        <v>49</v>
      </c>
      <c r="AR32" s="45">
        <f>64+RIGHT($B$2,1)-LEFT($B$2,1)</f>
        <v>65</v>
      </c>
      <c r="AS32" s="40"/>
      <c r="AT32" s="12"/>
      <c r="AU32" s="32"/>
      <c r="AV32" s="50"/>
      <c r="AW32" s="32"/>
      <c r="AX32" s="32"/>
      <c r="AY32" s="50"/>
      <c r="AZ32" s="32"/>
      <c r="BA32" s="12"/>
      <c r="BB32" s="32"/>
      <c r="BC32" s="32"/>
      <c r="BD32" s="32"/>
      <c r="BE32" s="32"/>
      <c r="BF32" s="32"/>
      <c r="BG32" s="32"/>
      <c r="BH32" s="32"/>
      <c r="BI32" s="32"/>
      <c r="BJ32" s="32"/>
      <c r="BK32" s="12"/>
      <c r="BL32" s="32"/>
      <c r="BM32" s="32"/>
      <c r="BN32" s="32"/>
      <c r="BO32" s="32"/>
      <c r="BP32" s="32"/>
      <c r="BQ32" s="32"/>
      <c r="BR32" s="32"/>
      <c r="BS32" s="32"/>
      <c r="BT32" s="32"/>
      <c r="BU32" s="12"/>
      <c r="BV32" s="32"/>
      <c r="BW32" s="50"/>
      <c r="BX32" s="32"/>
      <c r="BY32" s="32"/>
      <c r="BZ32" s="50"/>
      <c r="CA32" s="32"/>
      <c r="CB32" s="12"/>
      <c r="CC32" s="32"/>
      <c r="CD32" s="50"/>
      <c r="CE32" s="32"/>
      <c r="CF32" s="32"/>
      <c r="CG32" s="50"/>
      <c r="CH32" s="32"/>
      <c r="CI32" s="12"/>
      <c r="CP32" s="12"/>
      <c r="CQ32" s="32"/>
      <c r="CR32" s="68"/>
      <c r="CS32" s="32"/>
      <c r="CT32" s="32"/>
      <c r="CU32" s="68"/>
      <c r="CV32" s="32"/>
      <c r="CW32" s="12"/>
      <c r="CX32" s="32"/>
      <c r="CY32" s="68"/>
      <c r="CZ32" s="32"/>
      <c r="DA32" s="32"/>
      <c r="DB32" s="68"/>
      <c r="DC32" s="32"/>
      <c r="DD32" s="12"/>
      <c r="DE32" s="32"/>
      <c r="DF32" s="68"/>
      <c r="DG32" s="32"/>
      <c r="DH32" s="32"/>
      <c r="DI32" s="68"/>
      <c r="DJ32" s="32"/>
      <c r="DK32" s="12"/>
    </row>
    <row r="33" spans="1:115" s="11" customFormat="1" ht="16" customHeight="1" x14ac:dyDescent="0.2">
      <c r="A33" s="84"/>
      <c r="B33" s="84"/>
      <c r="C33" s="84"/>
      <c r="D33" s="84"/>
      <c r="E33" s="84"/>
      <c r="F33" s="84"/>
      <c r="G33" s="84"/>
      <c r="H33" s="12"/>
      <c r="V33" s="12"/>
      <c r="AJ33" s="12"/>
      <c r="AK33" s="44" t="s">
        <v>40</v>
      </c>
      <c r="AL33" s="45">
        <f>29+RIGHT($B$2,1)-LEFT($B$2,1)</f>
        <v>30</v>
      </c>
      <c r="AM33" s="30"/>
      <c r="AN33" s="44" t="s">
        <v>40</v>
      </c>
      <c r="AO33" s="45">
        <f>47+RIGHT($B$2,1)-LEFT($B$2,1)</f>
        <v>48</v>
      </c>
      <c r="AP33" s="30"/>
      <c r="AQ33" s="44" t="s">
        <v>39</v>
      </c>
      <c r="AR33" s="45">
        <f>68+RIGHT($B$2,1)-LEFT($B$2,1)</f>
        <v>69</v>
      </c>
      <c r="AS33" s="40"/>
      <c r="AT33" s="12"/>
      <c r="AU33" s="32"/>
      <c r="AV33" s="50"/>
      <c r="AW33" s="32"/>
      <c r="AX33" s="32"/>
      <c r="AY33" s="50"/>
      <c r="AZ33" s="32"/>
      <c r="BA33" s="12"/>
      <c r="BB33" s="32"/>
      <c r="BC33" s="32"/>
      <c r="BD33" s="32"/>
      <c r="BE33" s="32"/>
      <c r="BF33" s="32"/>
      <c r="BG33" s="32"/>
      <c r="BH33" s="32"/>
      <c r="BI33" s="32"/>
      <c r="BJ33" s="32"/>
      <c r="BK33" s="12"/>
      <c r="BL33" s="74" t="s">
        <v>131</v>
      </c>
      <c r="BM33" s="74"/>
      <c r="BN33" s="74"/>
      <c r="BO33" s="74"/>
      <c r="BP33" s="74"/>
      <c r="BQ33" s="74"/>
      <c r="BR33" s="74"/>
      <c r="BS33" s="74"/>
      <c r="BT33" s="74"/>
      <c r="BU33" s="12"/>
      <c r="BV33" s="32"/>
      <c r="BW33" s="50"/>
      <c r="BX33" s="32"/>
      <c r="BY33" s="32"/>
      <c r="BZ33" s="50"/>
      <c r="CA33" s="32"/>
      <c r="CB33" s="12"/>
      <c r="CC33" s="32"/>
      <c r="CD33" s="50"/>
      <c r="CE33" s="32"/>
      <c r="CF33" s="32"/>
      <c r="CG33" s="50"/>
      <c r="CH33" s="32"/>
      <c r="CI33" s="12"/>
      <c r="CJ33" s="32"/>
      <c r="CK33" s="68"/>
      <c r="CL33" s="32"/>
      <c r="CM33" s="32"/>
      <c r="CN33" s="68"/>
      <c r="CO33" s="32"/>
      <c r="CP33" s="12"/>
      <c r="CQ33" s="32"/>
      <c r="CR33" s="68"/>
      <c r="CS33" s="32"/>
      <c r="CT33" s="32"/>
      <c r="CU33" s="68"/>
      <c r="CV33" s="32"/>
      <c r="CW33" s="12"/>
      <c r="CX33" s="32"/>
      <c r="CY33" s="68"/>
      <c r="CZ33" s="32"/>
      <c r="DA33" s="32"/>
      <c r="DB33" s="68"/>
      <c r="DC33" s="32"/>
      <c r="DD33" s="12"/>
      <c r="DE33" s="32"/>
      <c r="DF33" s="68"/>
      <c r="DG33" s="32"/>
      <c r="DH33" s="32"/>
      <c r="DI33" s="68"/>
      <c r="DJ33" s="32"/>
      <c r="DK33" s="12"/>
    </row>
    <row r="34" spans="1:115" s="11" customFormat="1" ht="16" customHeight="1" x14ac:dyDescent="0.2">
      <c r="A34" s="84"/>
      <c r="B34" s="84"/>
      <c r="C34" s="84"/>
      <c r="D34" s="84"/>
      <c r="E34" s="84"/>
      <c r="F34" s="84"/>
      <c r="G34" s="84"/>
      <c r="H34" s="12"/>
      <c r="V34" s="12"/>
      <c r="AJ34" s="12"/>
      <c r="AK34" s="44" t="s">
        <v>41</v>
      </c>
      <c r="AL34" s="45">
        <f>32+RIGHT($B$2,1)-LEFT($B$2,1)</f>
        <v>33</v>
      </c>
      <c r="AM34" s="30"/>
      <c r="AN34" s="44" t="s">
        <v>49</v>
      </c>
      <c r="AO34" s="45">
        <f>49+RIGHT($B$2,1)-LEFT($B$2,1)</f>
        <v>50</v>
      </c>
      <c r="AP34" s="30"/>
      <c r="AQ34" s="44" t="s">
        <v>48</v>
      </c>
      <c r="AR34" s="45">
        <f>72+RIGHT($B$2,1)-LEFT($B$2,1)</f>
        <v>73</v>
      </c>
      <c r="AS34" s="3"/>
      <c r="AT34" s="12"/>
      <c r="AU34" s="32"/>
      <c r="AV34" s="50"/>
      <c r="AW34" s="32"/>
      <c r="AX34" s="32"/>
      <c r="AY34" s="50"/>
      <c r="AZ34" s="32"/>
      <c r="BA34" s="12"/>
      <c r="BB34" s="32"/>
      <c r="BC34" s="32"/>
      <c r="BD34" s="32"/>
      <c r="BE34" s="32"/>
      <c r="BF34" s="32"/>
      <c r="BG34" s="32"/>
      <c r="BH34" s="32"/>
      <c r="BI34" s="32"/>
      <c r="BJ34" s="32"/>
      <c r="BK34" s="12"/>
      <c r="BL34" s="32"/>
      <c r="BM34" s="32"/>
      <c r="BN34" s="32"/>
      <c r="BO34" s="32"/>
      <c r="BP34" s="32"/>
      <c r="BQ34" s="32"/>
      <c r="BR34" s="32"/>
      <c r="BS34" s="32"/>
      <c r="BT34" s="32"/>
      <c r="BU34" s="12"/>
      <c r="BV34" s="32"/>
      <c r="BW34" s="50"/>
      <c r="BX34" s="32"/>
      <c r="BY34" s="32"/>
      <c r="BZ34" s="50"/>
      <c r="CA34" s="32"/>
      <c r="CB34" s="12"/>
      <c r="CC34" s="32"/>
      <c r="CD34" s="50"/>
      <c r="CE34" s="32"/>
      <c r="CF34" s="32"/>
      <c r="CG34" s="50"/>
      <c r="CH34" s="32"/>
      <c r="CI34" s="12"/>
      <c r="CJ34" s="32"/>
      <c r="CK34" s="68"/>
      <c r="CL34" s="32"/>
      <c r="CM34" s="32"/>
      <c r="CN34" s="68"/>
      <c r="CO34" s="32"/>
      <c r="CP34" s="12"/>
      <c r="CQ34" s="32"/>
      <c r="CR34" s="68"/>
      <c r="CS34" s="32"/>
      <c r="CT34" s="32"/>
      <c r="CU34" s="68"/>
      <c r="CV34" s="32"/>
      <c r="CW34" s="12"/>
      <c r="CX34" s="32"/>
      <c r="CY34" s="68"/>
      <c r="CZ34" s="32"/>
      <c r="DA34" s="32"/>
      <c r="DB34" s="68"/>
      <c r="DC34" s="32"/>
      <c r="DD34" s="12"/>
      <c r="DE34" s="32"/>
      <c r="DF34" s="68"/>
      <c r="DG34" s="32"/>
      <c r="DH34" s="32"/>
      <c r="DI34" s="68"/>
      <c r="DJ34" s="32"/>
      <c r="DK34" s="12"/>
    </row>
    <row r="35" spans="1:115" s="11" customFormat="1" ht="18" customHeight="1" x14ac:dyDescent="0.2">
      <c r="H35" s="12"/>
      <c r="V35" s="12"/>
      <c r="AJ35" s="12"/>
      <c r="AK35" s="44" t="s">
        <v>42</v>
      </c>
      <c r="AL35" s="45">
        <f>32+RIGHT($B$2,1)-LEFT($B$2,1)</f>
        <v>33</v>
      </c>
      <c r="AM35" s="30"/>
      <c r="AN35" s="44" t="s">
        <v>47</v>
      </c>
      <c r="AO35" s="45">
        <f>52+RIGHT($B$2,1)-LEFT($B$2,1)</f>
        <v>53</v>
      </c>
      <c r="AP35" s="30"/>
      <c r="AQ35" s="44" t="s">
        <v>51</v>
      </c>
      <c r="AR35" s="45">
        <f>76+RIGHT($B$2,1)-LEFT($B$2,1)</f>
        <v>77</v>
      </c>
      <c r="AS35" s="7"/>
      <c r="AT35" s="12"/>
      <c r="AU35" s="32"/>
      <c r="AV35" s="50"/>
      <c r="AW35" s="32"/>
      <c r="AX35" s="32"/>
      <c r="AY35" s="50"/>
      <c r="AZ35" s="32"/>
      <c r="BA35" s="12"/>
      <c r="BB35" s="32"/>
      <c r="BC35" s="32"/>
      <c r="BD35" s="32"/>
      <c r="BE35" s="32"/>
      <c r="BF35" s="32"/>
      <c r="BG35" s="32"/>
      <c r="BH35" s="32"/>
      <c r="BI35" s="32"/>
      <c r="BJ35" s="32"/>
      <c r="BK35" s="12"/>
      <c r="BL35" s="74" t="s">
        <v>133</v>
      </c>
      <c r="BM35" s="74"/>
      <c r="BN35" s="74"/>
      <c r="BO35" s="74"/>
      <c r="BP35" s="74"/>
      <c r="BQ35" s="74"/>
      <c r="BR35" s="74"/>
      <c r="BS35" s="74"/>
      <c r="BT35" s="74"/>
      <c r="BU35" s="12"/>
      <c r="BV35" s="32"/>
      <c r="BW35" s="50"/>
      <c r="BX35" s="32"/>
      <c r="BY35" s="32"/>
      <c r="BZ35" s="50"/>
      <c r="CA35" s="32"/>
      <c r="CB35" s="12"/>
      <c r="CC35" s="32"/>
      <c r="CD35" s="50"/>
      <c r="CE35" s="32"/>
      <c r="CF35" s="32"/>
      <c r="CG35" s="50"/>
      <c r="CH35" s="32"/>
      <c r="CI35" s="12"/>
      <c r="CJ35" s="32"/>
      <c r="CK35" s="68"/>
      <c r="CL35" s="32"/>
      <c r="CM35" s="32"/>
      <c r="CN35" s="68"/>
      <c r="CO35" s="32"/>
      <c r="CP35" s="12"/>
      <c r="CQ35" s="32"/>
      <c r="CR35" s="68"/>
      <c r="CS35" s="32"/>
      <c r="CT35" s="32"/>
      <c r="CU35" s="68"/>
      <c r="CV35" s="32"/>
      <c r="CW35" s="12"/>
      <c r="CX35" s="32"/>
      <c r="CY35" s="68"/>
      <c r="CZ35" s="32"/>
      <c r="DA35" s="32"/>
      <c r="DB35" s="68"/>
      <c r="DC35" s="32"/>
      <c r="DD35" s="12"/>
      <c r="DE35" s="32"/>
      <c r="DF35" s="68"/>
      <c r="DG35" s="32"/>
      <c r="DH35" s="32"/>
      <c r="DI35" s="68"/>
      <c r="DJ35" s="32"/>
      <c r="DK35" s="12"/>
    </row>
    <row r="36" spans="1:115" s="11" customFormat="1" ht="18" x14ac:dyDescent="0.2">
      <c r="H36" s="12"/>
      <c r="V36" s="12"/>
      <c r="AJ36" s="12"/>
      <c r="AK36" s="44" t="s">
        <v>43</v>
      </c>
      <c r="AL36" s="45">
        <f>34+RIGHT($B$2,1)-LEFT($B$2,1)</f>
        <v>35</v>
      </c>
      <c r="AM36" s="30"/>
      <c r="AN36" s="44" t="s">
        <v>38</v>
      </c>
      <c r="AO36" s="45">
        <f>54+RIGHT($B$2,1)-LEFT($B$2,1)</f>
        <v>55</v>
      </c>
      <c r="AP36" s="30"/>
      <c r="AQ36" s="44" t="s">
        <v>40</v>
      </c>
      <c r="AR36" s="45">
        <f>82+RIGHT($B$2,1)-LEFT($B$2,1)</f>
        <v>83</v>
      </c>
      <c r="AS36" s="3"/>
      <c r="AT36" s="12"/>
      <c r="AU36" s="32"/>
      <c r="AV36" s="50"/>
      <c r="AW36" s="32"/>
      <c r="AX36" s="32"/>
      <c r="AY36" s="50"/>
      <c r="AZ36" s="32"/>
      <c r="BA36" s="12"/>
      <c r="BB36" s="32"/>
      <c r="BC36" s="32"/>
      <c r="BD36" s="32"/>
      <c r="BE36" s="32"/>
      <c r="BF36" s="32"/>
      <c r="BG36" s="32"/>
      <c r="BH36" s="32"/>
      <c r="BI36" s="32"/>
      <c r="BJ36" s="32"/>
      <c r="BK36" s="12"/>
      <c r="BL36" s="74"/>
      <c r="BM36" s="74"/>
      <c r="BN36" s="74"/>
      <c r="BO36" s="74"/>
      <c r="BP36" s="74"/>
      <c r="BQ36" s="74"/>
      <c r="BR36" s="74"/>
      <c r="BS36" s="74"/>
      <c r="BT36" s="74"/>
      <c r="BU36" s="12"/>
      <c r="BV36" s="32"/>
      <c r="BW36" s="50"/>
      <c r="BX36" s="32"/>
      <c r="BY36" s="32"/>
      <c r="BZ36" s="50"/>
      <c r="CA36" s="32"/>
      <c r="CB36" s="12"/>
      <c r="CC36" s="32"/>
      <c r="CD36" s="50"/>
      <c r="CE36" s="32"/>
      <c r="CF36" s="32"/>
      <c r="CG36" s="50"/>
      <c r="CH36" s="32"/>
      <c r="CI36" s="12"/>
      <c r="CJ36" s="32"/>
      <c r="CK36" s="68"/>
      <c r="CL36" s="32"/>
      <c r="CM36" s="32"/>
      <c r="CN36" s="68"/>
      <c r="CO36" s="32"/>
      <c r="CP36" s="12"/>
      <c r="CQ36" s="32"/>
      <c r="CR36" s="68"/>
      <c r="CS36" s="32"/>
      <c r="CT36" s="32"/>
      <c r="CU36" s="68"/>
      <c r="CV36" s="32"/>
      <c r="CW36" s="12"/>
      <c r="CX36" s="32"/>
      <c r="CY36" s="68"/>
      <c r="CZ36" s="32"/>
      <c r="DA36" s="32"/>
      <c r="DB36" s="68"/>
      <c r="DC36" s="32"/>
      <c r="DD36" s="12"/>
      <c r="DE36" s="32"/>
      <c r="DF36" s="68"/>
      <c r="DG36" s="32"/>
      <c r="DH36" s="32"/>
      <c r="DI36" s="68"/>
      <c r="DJ36" s="32"/>
      <c r="DK36" s="12"/>
    </row>
    <row r="37" spans="1:115" s="11" customFormat="1" ht="18" x14ac:dyDescent="0.2">
      <c r="H37" s="12"/>
      <c r="V37" s="12"/>
      <c r="AJ37" s="12"/>
      <c r="AK37" s="44" t="s">
        <v>44</v>
      </c>
      <c r="AL37" s="45">
        <f>38+RIGHT($B$2,1)-LEFT($B$2,1)</f>
        <v>39</v>
      </c>
      <c r="AM37" s="30"/>
      <c r="AN37" s="44" t="s">
        <v>51</v>
      </c>
      <c r="AO37" s="45">
        <f>57+RIGHT($B$2,1)-LEFT($B$2,1)</f>
        <v>58</v>
      </c>
      <c r="AP37" s="30"/>
      <c r="AQ37" s="44" t="s">
        <v>47</v>
      </c>
      <c r="AR37" s="45">
        <f>83+RIGHT($B$2,1)-LEFT($B$2,1)</f>
        <v>84</v>
      </c>
      <c r="AS37" s="7"/>
      <c r="AT37" s="12"/>
      <c r="AU37" s="32"/>
      <c r="AV37" s="50"/>
      <c r="AW37" s="32"/>
      <c r="AX37" s="32"/>
      <c r="AY37" s="50"/>
      <c r="AZ37" s="32"/>
      <c r="BA37" s="12"/>
      <c r="BB37" s="32"/>
      <c r="BC37" s="32"/>
      <c r="BD37" s="32"/>
      <c r="BE37" s="32"/>
      <c r="BF37" s="32"/>
      <c r="BG37" s="32"/>
      <c r="BH37" s="32"/>
      <c r="BI37" s="32"/>
      <c r="BJ37" s="32"/>
      <c r="BK37" s="12"/>
      <c r="BL37" s="32"/>
      <c r="BM37" s="32"/>
      <c r="BN37" s="32"/>
      <c r="BO37" s="32"/>
      <c r="BP37" s="32"/>
      <c r="BQ37" s="32"/>
      <c r="BR37" s="32"/>
      <c r="BS37" s="32"/>
      <c r="BT37" s="32"/>
      <c r="BU37" s="12"/>
      <c r="BV37" s="32"/>
      <c r="BW37" s="50"/>
      <c r="BX37" s="32"/>
      <c r="BY37" s="32"/>
      <c r="BZ37" s="50"/>
      <c r="CA37" s="32"/>
      <c r="CB37" s="12"/>
      <c r="CC37" s="32"/>
      <c r="CD37" s="50"/>
      <c r="CE37" s="32"/>
      <c r="CF37" s="32"/>
      <c r="CG37" s="50"/>
      <c r="CH37" s="32"/>
      <c r="CI37" s="12"/>
      <c r="CJ37" s="32"/>
      <c r="CK37" s="68"/>
      <c r="CL37" s="32"/>
      <c r="CM37" s="32"/>
      <c r="CN37" s="68"/>
      <c r="CO37" s="32"/>
      <c r="CP37" s="12"/>
      <c r="CQ37" s="32"/>
      <c r="CR37" s="68"/>
      <c r="CS37" s="32"/>
      <c r="CT37" s="32"/>
      <c r="CU37" s="68"/>
      <c r="CV37" s="32"/>
      <c r="CW37" s="12"/>
      <c r="CX37" s="32"/>
      <c r="CY37" s="68"/>
      <c r="CZ37" s="32"/>
      <c r="DA37" s="32"/>
      <c r="DB37" s="68"/>
      <c r="DC37" s="32"/>
      <c r="DD37" s="12"/>
      <c r="DE37" s="32"/>
      <c r="DF37" s="68"/>
      <c r="DG37" s="32"/>
      <c r="DH37" s="32"/>
      <c r="DI37" s="68"/>
      <c r="DJ37" s="32"/>
      <c r="DK37" s="12"/>
    </row>
    <row r="38" spans="1:115" s="11" customFormat="1" ht="18" x14ac:dyDescent="0.2">
      <c r="H38" s="12"/>
      <c r="V38" s="12"/>
      <c r="AJ38" s="12"/>
      <c r="AK38" s="44" t="s">
        <v>45</v>
      </c>
      <c r="AL38" s="45">
        <f>39+RIGHT($B$2,1)-LEFT($B$2,1)</f>
        <v>40</v>
      </c>
      <c r="AM38" s="30"/>
      <c r="AN38" s="44" t="s">
        <v>48</v>
      </c>
      <c r="AO38" s="45">
        <f>59+RIGHT($B$2,1)-LEFT($B$2,1)</f>
        <v>60</v>
      </c>
      <c r="AP38" s="30"/>
      <c r="AQ38" s="44" t="s">
        <v>55</v>
      </c>
      <c r="AR38" s="45">
        <f>84+RIGHT($B$2,1)-LEFT($B$2,1)</f>
        <v>85</v>
      </c>
      <c r="AS38" s="3"/>
      <c r="AT38" s="12"/>
      <c r="AU38" s="32"/>
      <c r="AV38" s="50"/>
      <c r="AW38" s="32"/>
      <c r="AX38" s="32"/>
      <c r="AY38" s="50"/>
      <c r="AZ38" s="32"/>
      <c r="BA38" s="12"/>
      <c r="BB38" s="32"/>
      <c r="BC38" s="32"/>
      <c r="BD38" s="32"/>
      <c r="BE38" s="32"/>
      <c r="BF38" s="32"/>
      <c r="BG38" s="32"/>
      <c r="BH38" s="32"/>
      <c r="BI38" s="32"/>
      <c r="BJ38" s="32"/>
      <c r="BK38" s="12"/>
      <c r="BL38" s="32"/>
      <c r="BM38" s="32"/>
      <c r="BN38" s="32"/>
      <c r="BO38" s="32"/>
      <c r="BP38" s="32"/>
      <c r="BQ38" s="32"/>
      <c r="BR38" s="32"/>
      <c r="BS38" s="32"/>
      <c r="BT38" s="32"/>
      <c r="BU38" s="12"/>
      <c r="BV38" s="32"/>
      <c r="BW38" s="50"/>
      <c r="BX38" s="32"/>
      <c r="BY38" s="32"/>
      <c r="BZ38" s="50"/>
      <c r="CA38" s="32"/>
      <c r="CB38" s="12"/>
      <c r="CC38" s="32"/>
      <c r="CD38" s="50"/>
      <c r="CE38" s="32"/>
      <c r="CF38" s="32"/>
      <c r="CG38" s="50"/>
      <c r="CH38" s="32"/>
      <c r="CI38" s="12"/>
      <c r="CJ38" s="32"/>
      <c r="CK38" s="68"/>
      <c r="CL38" s="32"/>
      <c r="CM38" s="32"/>
      <c r="CN38" s="68"/>
      <c r="CO38" s="32"/>
      <c r="CP38" s="12"/>
      <c r="CQ38" s="32"/>
      <c r="CR38" s="68"/>
      <c r="CS38" s="32"/>
      <c r="CT38" s="32"/>
      <c r="CU38" s="68"/>
      <c r="CV38" s="32"/>
      <c r="CW38" s="12"/>
      <c r="CX38" s="32"/>
      <c r="CY38" s="68"/>
      <c r="CZ38" s="32"/>
      <c r="DA38" s="32"/>
      <c r="DB38" s="68"/>
      <c r="DC38" s="32"/>
      <c r="DD38" s="12"/>
      <c r="DE38" s="32"/>
      <c r="DF38" s="68"/>
      <c r="DG38" s="32"/>
      <c r="DH38" s="32"/>
      <c r="DI38" s="68"/>
      <c r="DJ38" s="32"/>
      <c r="DK38" s="12"/>
    </row>
    <row r="39" spans="1:115" s="11" customFormat="1" ht="18" x14ac:dyDescent="0.2">
      <c r="H39" s="12"/>
      <c r="V39" s="12"/>
      <c r="AJ39" s="12"/>
      <c r="AK39" s="44" t="s">
        <v>46</v>
      </c>
      <c r="AL39" s="45">
        <f>45+RIGHT($B$2,1)-LEFT($B$2,1)</f>
        <v>46</v>
      </c>
      <c r="AM39" s="30"/>
      <c r="AN39" s="44" t="s">
        <v>42</v>
      </c>
      <c r="AO39" s="45">
        <f>59+RIGHT($B$2,1)-LEFT($B$2,1)</f>
        <v>60</v>
      </c>
      <c r="AP39" s="30"/>
      <c r="AQ39" s="44" t="s">
        <v>53</v>
      </c>
      <c r="AR39" s="45">
        <f>85+RIGHT($B$2,1)-LEFT($B$2,1)</f>
        <v>86</v>
      </c>
      <c r="AS39" s="7"/>
      <c r="AT39" s="12"/>
      <c r="AU39" s="32"/>
      <c r="AV39" s="50"/>
      <c r="AW39" s="32"/>
      <c r="AX39" s="32"/>
      <c r="AY39" s="50"/>
      <c r="AZ39" s="32"/>
      <c r="BA39" s="12"/>
      <c r="BB39" s="32"/>
      <c r="BC39" s="32"/>
      <c r="BD39" s="32"/>
      <c r="BE39" s="32"/>
      <c r="BF39" s="32"/>
      <c r="BG39" s="32"/>
      <c r="BH39" s="32"/>
      <c r="BI39" s="32"/>
      <c r="BJ39" s="32"/>
      <c r="BK39" s="12"/>
      <c r="BL39" s="32"/>
      <c r="BM39" s="32"/>
      <c r="BN39" s="32"/>
      <c r="BO39" s="32"/>
      <c r="BP39" s="32"/>
      <c r="BQ39" s="32"/>
      <c r="BR39" s="32"/>
      <c r="BS39" s="32"/>
      <c r="BT39" s="32"/>
      <c r="BU39" s="12"/>
      <c r="BV39" s="32"/>
      <c r="BW39" s="50"/>
      <c r="BX39" s="32"/>
      <c r="BY39" s="32"/>
      <c r="BZ39" s="50"/>
      <c r="CA39" s="32"/>
      <c r="CB39" s="12"/>
      <c r="CC39" s="32"/>
      <c r="CD39" s="50"/>
      <c r="CE39" s="32"/>
      <c r="CF39" s="32"/>
      <c r="CG39" s="50"/>
      <c r="CH39" s="32"/>
      <c r="CI39" s="12"/>
      <c r="CJ39" s="32"/>
      <c r="CK39" s="68"/>
      <c r="CL39" s="32"/>
      <c r="CM39" s="32"/>
      <c r="CN39" s="68"/>
      <c r="CO39" s="32"/>
      <c r="CP39" s="12"/>
      <c r="CQ39" s="32"/>
      <c r="CR39" s="68"/>
      <c r="CS39" s="32"/>
      <c r="CT39" s="32"/>
      <c r="CU39" s="68"/>
      <c r="CV39" s="32"/>
      <c r="CW39" s="12"/>
      <c r="CX39" s="32"/>
      <c r="CY39" s="68"/>
      <c r="CZ39" s="32"/>
      <c r="DA39" s="32"/>
      <c r="DB39" s="68"/>
      <c r="DC39" s="32"/>
      <c r="DD39" s="12"/>
      <c r="DE39" s="32"/>
      <c r="DF39" s="68"/>
      <c r="DG39" s="32"/>
      <c r="DH39" s="32"/>
      <c r="DI39" s="68"/>
      <c r="DJ39" s="32"/>
      <c r="DK39" s="12"/>
    </row>
    <row r="40" spans="1:115" s="11" customFormat="1" ht="18" x14ac:dyDescent="0.2">
      <c r="H40" s="12"/>
      <c r="V40" s="12"/>
      <c r="AJ40" s="12"/>
      <c r="AK40" s="44" t="s">
        <v>47</v>
      </c>
      <c r="AL40" s="45">
        <f>49+RIGHT($B$2,1)-LEFT($B$2,1)</f>
        <v>50</v>
      </c>
      <c r="AM40" s="30"/>
      <c r="AN40" s="44" t="s">
        <v>41</v>
      </c>
      <c r="AO40" s="45">
        <f>61+RIGHT($B$2,1)-LEFT($B$2,1)</f>
        <v>62</v>
      </c>
      <c r="AP40" s="30"/>
      <c r="AQ40" s="44" t="s">
        <v>58</v>
      </c>
      <c r="AR40" s="45">
        <f>90+RIGHT($B$2,1)-LEFT($B$2,1)</f>
        <v>91</v>
      </c>
      <c r="AT40" s="12"/>
      <c r="AU40" s="32"/>
      <c r="AV40" s="50"/>
      <c r="AW40" s="32"/>
      <c r="AX40" s="32"/>
      <c r="AY40" s="50"/>
      <c r="AZ40" s="32"/>
      <c r="BA40" s="12"/>
      <c r="BB40" s="32"/>
      <c r="BC40" s="32"/>
      <c r="BD40" s="32"/>
      <c r="BE40" s="32"/>
      <c r="BF40" s="32"/>
      <c r="BG40" s="32"/>
      <c r="BH40" s="32"/>
      <c r="BI40" s="32"/>
      <c r="BJ40" s="32"/>
      <c r="BK40" s="12"/>
      <c r="BL40" s="32"/>
      <c r="BM40" s="32"/>
      <c r="BN40" s="32"/>
      <c r="BO40" s="32"/>
      <c r="BP40" s="32"/>
      <c r="BQ40" s="32"/>
      <c r="BR40" s="32"/>
      <c r="BS40" s="32"/>
      <c r="BT40" s="32"/>
      <c r="BU40" s="12"/>
      <c r="BV40" s="32"/>
      <c r="BW40" s="50"/>
      <c r="BX40" s="32"/>
      <c r="BY40" s="32"/>
      <c r="BZ40" s="50"/>
      <c r="CA40" s="32"/>
      <c r="CB40" s="12"/>
      <c r="CC40" s="32"/>
      <c r="CD40" s="50"/>
      <c r="CE40" s="32"/>
      <c r="CF40" s="32"/>
      <c r="CG40" s="50"/>
      <c r="CH40" s="32"/>
      <c r="CI40" s="12"/>
      <c r="CJ40" s="32"/>
      <c r="CK40" s="68"/>
      <c r="CL40" s="32"/>
      <c r="CM40" s="32"/>
      <c r="CN40" s="68"/>
      <c r="CO40" s="32"/>
      <c r="CP40" s="12"/>
      <c r="CQ40" s="32"/>
      <c r="CR40" s="68"/>
      <c r="CS40" s="32"/>
      <c r="CT40" s="32"/>
      <c r="CU40" s="68"/>
      <c r="CV40" s="32"/>
      <c r="CW40" s="12"/>
      <c r="CX40" s="32"/>
      <c r="CY40" s="68"/>
      <c r="CZ40" s="32"/>
      <c r="DA40" s="32"/>
      <c r="DB40" s="68"/>
      <c r="DC40" s="32"/>
      <c r="DD40" s="12"/>
      <c r="DE40" s="32"/>
      <c r="DF40" s="68"/>
      <c r="DG40" s="32"/>
      <c r="DH40" s="32"/>
      <c r="DI40" s="68"/>
      <c r="DJ40" s="32"/>
      <c r="DK40" s="12"/>
    </row>
    <row r="41" spans="1:115" s="11" customFormat="1" ht="18" x14ac:dyDescent="0.2">
      <c r="H41" s="12"/>
      <c r="V41" s="12"/>
      <c r="AJ41" s="12"/>
      <c r="AK41" s="44" t="s">
        <v>48</v>
      </c>
      <c r="AL41" s="45">
        <f>49+RIGHT($B$2,1)-LEFT($B$2,1)</f>
        <v>50</v>
      </c>
      <c r="AM41" s="30"/>
      <c r="AN41" s="44" t="s">
        <v>53</v>
      </c>
      <c r="AO41" s="45">
        <f>63+RIGHT($B$2,1)-LEFT($B$2,1)</f>
        <v>64</v>
      </c>
      <c r="AP41" s="30"/>
      <c r="AQ41" s="44" t="s">
        <v>52</v>
      </c>
      <c r="AR41" s="45">
        <f>96+RIGHT($B$2,1)-LEFT($B$2,1)</f>
        <v>97</v>
      </c>
      <c r="AS41" s="32"/>
      <c r="AT41" s="12"/>
      <c r="AU41" s="32"/>
      <c r="AV41" s="50"/>
      <c r="AW41" s="32"/>
      <c r="AX41" s="32"/>
      <c r="AY41" s="50"/>
      <c r="AZ41" s="32"/>
      <c r="BA41" s="12"/>
      <c r="BB41" s="32"/>
      <c r="BC41" s="32"/>
      <c r="BD41" s="32"/>
      <c r="BE41" s="32"/>
      <c r="BF41" s="32"/>
      <c r="BG41" s="32"/>
      <c r="BH41" s="32"/>
      <c r="BI41" s="32"/>
      <c r="BJ41" s="32"/>
      <c r="BK41" s="12"/>
      <c r="BL41" s="32"/>
      <c r="BM41" s="32"/>
      <c r="BN41" s="32"/>
      <c r="BO41" s="32"/>
      <c r="BP41" s="32"/>
      <c r="BQ41" s="32"/>
      <c r="BR41" s="32"/>
      <c r="BS41" s="32"/>
      <c r="BT41" s="32"/>
      <c r="BU41" s="12"/>
      <c r="BV41" s="32"/>
      <c r="BW41" s="50"/>
      <c r="BX41" s="32"/>
      <c r="BY41" s="32"/>
      <c r="BZ41" s="50"/>
      <c r="CA41" s="32"/>
      <c r="CB41" s="12"/>
      <c r="CC41" s="32"/>
      <c r="CD41" s="50"/>
      <c r="CE41" s="32"/>
      <c r="CF41" s="32"/>
      <c r="CG41" s="50"/>
      <c r="CH41" s="32"/>
      <c r="CI41" s="12"/>
      <c r="CJ41" s="32"/>
      <c r="CK41" s="68"/>
      <c r="CL41" s="32"/>
      <c r="CM41" s="32"/>
      <c r="CN41" s="68"/>
      <c r="CO41" s="32"/>
      <c r="CP41" s="12"/>
      <c r="CQ41" s="32"/>
      <c r="CR41" s="68"/>
      <c r="CS41" s="32"/>
      <c r="CT41" s="32"/>
      <c r="CU41" s="68"/>
      <c r="CV41" s="32"/>
      <c r="CW41" s="12"/>
      <c r="CX41" s="32"/>
      <c r="CY41" s="68"/>
      <c r="CZ41" s="32"/>
      <c r="DA41" s="32"/>
      <c r="DB41" s="68"/>
      <c r="DC41" s="32"/>
      <c r="DD41" s="12"/>
      <c r="DE41" s="32"/>
      <c r="DF41" s="68"/>
      <c r="DG41" s="32"/>
      <c r="DH41" s="32"/>
      <c r="DI41" s="68"/>
      <c r="DJ41" s="32"/>
      <c r="DK41" s="12"/>
    </row>
    <row r="42" spans="1:115" s="11" customFormat="1" ht="18" x14ac:dyDescent="0.2">
      <c r="H42" s="12"/>
      <c r="V42" s="12"/>
      <c r="AJ42" s="12"/>
      <c r="AK42" s="44" t="s">
        <v>49</v>
      </c>
      <c r="AL42" s="45">
        <f>49+RIGHT($B$2,1)-LEFT($B$2,1)</f>
        <v>50</v>
      </c>
      <c r="AM42" s="30"/>
      <c r="AN42" s="44" t="s">
        <v>58</v>
      </c>
      <c r="AO42" s="45">
        <f>65+RIGHT($B$2,1)-LEFT($B$2,1)</f>
        <v>66</v>
      </c>
      <c r="AP42" s="30"/>
      <c r="AQ42" s="44" t="s">
        <v>62</v>
      </c>
      <c r="AR42" s="45">
        <f>98+RIGHT($B$2,1)-LEFT($B$2,1)</f>
        <v>99</v>
      </c>
      <c r="AS42" s="32"/>
      <c r="AT42" s="12"/>
      <c r="AU42" s="32"/>
      <c r="AV42" s="50"/>
      <c r="AW42" s="32"/>
      <c r="AX42" s="32"/>
      <c r="AY42" s="50"/>
      <c r="AZ42" s="32"/>
      <c r="BA42" s="12"/>
      <c r="BB42" s="32"/>
      <c r="BC42" s="32"/>
      <c r="BD42" s="32"/>
      <c r="BE42" s="32"/>
      <c r="BF42" s="32"/>
      <c r="BG42" s="32"/>
      <c r="BH42" s="32"/>
      <c r="BI42" s="32"/>
      <c r="BJ42" s="32"/>
      <c r="BK42" s="12"/>
      <c r="BL42" s="32"/>
      <c r="BM42" s="32"/>
      <c r="BN42" s="32"/>
      <c r="BO42" s="32"/>
      <c r="BP42" s="32"/>
      <c r="BQ42" s="32"/>
      <c r="BR42" s="32"/>
      <c r="BS42" s="32"/>
      <c r="BT42" s="32"/>
      <c r="BU42" s="12"/>
      <c r="BV42" s="32"/>
      <c r="BW42" s="50"/>
      <c r="BX42" s="32"/>
      <c r="BY42" s="32"/>
      <c r="BZ42" s="50"/>
      <c r="CA42" s="32"/>
      <c r="CB42" s="12"/>
      <c r="CC42" s="32"/>
      <c r="CD42" s="50"/>
      <c r="CE42" s="32"/>
      <c r="CF42" s="32"/>
      <c r="CG42" s="50"/>
      <c r="CH42" s="32"/>
      <c r="CI42" s="12"/>
      <c r="CJ42" s="32"/>
      <c r="CK42" s="68"/>
      <c r="CL42" s="32"/>
      <c r="CM42" s="32"/>
      <c r="CN42" s="68"/>
      <c r="CO42" s="32"/>
      <c r="CP42" s="12"/>
      <c r="CQ42" s="32"/>
      <c r="CR42" s="68"/>
      <c r="CS42" s="32"/>
      <c r="CT42" s="32"/>
      <c r="CU42" s="68"/>
      <c r="CV42" s="32"/>
      <c r="CW42" s="12"/>
      <c r="CX42" s="32"/>
      <c r="CY42" s="68"/>
      <c r="CZ42" s="32"/>
      <c r="DA42" s="32"/>
      <c r="DB42" s="68"/>
      <c r="DC42" s="32"/>
      <c r="DD42" s="12"/>
      <c r="DE42" s="32"/>
      <c r="DF42" s="68"/>
      <c r="DG42" s="32"/>
      <c r="DH42" s="32"/>
      <c r="DI42" s="68"/>
      <c r="DJ42" s="32"/>
      <c r="DK42" s="12"/>
    </row>
    <row r="43" spans="1:115" s="11" customFormat="1" ht="18" x14ac:dyDescent="0.2">
      <c r="H43" s="12"/>
      <c r="V43" s="12"/>
      <c r="AJ43" s="12"/>
      <c r="AK43" s="44" t="s">
        <v>50</v>
      </c>
      <c r="AL43" s="45">
        <f>53+RIGHT($B$2,1)-LEFT($B$2,1)</f>
        <v>54</v>
      </c>
      <c r="AM43" s="30"/>
      <c r="AN43" s="44" t="s">
        <v>45</v>
      </c>
      <c r="AO43" s="45">
        <f>67+RIGHT($B$2,1)-LEFT($B$2,1)</f>
        <v>68</v>
      </c>
      <c r="AP43" s="30"/>
      <c r="AQ43" s="44" t="s">
        <v>41</v>
      </c>
      <c r="AR43" s="45">
        <f>99+RIGHT($B$2,1)-LEFT($B$2,1)</f>
        <v>100</v>
      </c>
      <c r="AS43" s="32"/>
      <c r="AT43" s="12"/>
      <c r="AU43" s="32"/>
      <c r="AV43" s="50"/>
      <c r="AW43" s="32"/>
      <c r="AX43" s="32"/>
      <c r="AY43" s="50"/>
      <c r="AZ43" s="32"/>
      <c r="BA43" s="12"/>
      <c r="BB43" s="32"/>
      <c r="BC43" s="32"/>
      <c r="BD43" s="32"/>
      <c r="BE43" s="32"/>
      <c r="BF43" s="32"/>
      <c r="BG43" s="32"/>
      <c r="BH43" s="32"/>
      <c r="BI43" s="32"/>
      <c r="BJ43" s="32"/>
      <c r="BK43" s="12"/>
      <c r="BL43" s="32"/>
      <c r="BM43" s="32"/>
      <c r="BN43" s="32"/>
      <c r="BO43" s="32"/>
      <c r="BP43" s="32"/>
      <c r="BQ43" s="32"/>
      <c r="BR43" s="32"/>
      <c r="BS43" s="32"/>
      <c r="BT43" s="32"/>
      <c r="BU43" s="12"/>
      <c r="BV43" s="32"/>
      <c r="BW43" s="50"/>
      <c r="BX43" s="32"/>
      <c r="BY43" s="32"/>
      <c r="BZ43" s="50"/>
      <c r="CA43" s="32"/>
      <c r="CB43" s="12"/>
      <c r="CC43" s="32"/>
      <c r="CD43" s="50"/>
      <c r="CE43" s="32"/>
      <c r="CF43" s="32"/>
      <c r="CG43" s="50"/>
      <c r="CH43" s="32"/>
      <c r="CI43" s="12"/>
      <c r="CJ43" s="32"/>
      <c r="CK43" s="68"/>
      <c r="CL43" s="32"/>
      <c r="CM43" s="32"/>
      <c r="CN43" s="68"/>
      <c r="CO43" s="32"/>
      <c r="CP43" s="12"/>
      <c r="CQ43" s="32"/>
      <c r="CR43" s="68"/>
      <c r="CS43" s="32"/>
      <c r="CT43" s="32"/>
      <c r="CU43" s="68"/>
      <c r="CV43" s="32"/>
      <c r="CW43" s="12"/>
      <c r="CX43" s="32"/>
      <c r="CY43" s="68"/>
      <c r="CZ43" s="32"/>
      <c r="DA43" s="32"/>
      <c r="DB43" s="68"/>
      <c r="DC43" s="32"/>
      <c r="DD43" s="12"/>
      <c r="DE43" s="32"/>
      <c r="DF43" s="68"/>
      <c r="DG43" s="32"/>
      <c r="DH43" s="32"/>
      <c r="DI43" s="68"/>
      <c r="DJ43" s="32"/>
      <c r="DK43" s="12"/>
    </row>
    <row r="44" spans="1:115" s="11" customFormat="1" ht="18" x14ac:dyDescent="0.2">
      <c r="H44" s="12"/>
      <c r="V44" s="12"/>
      <c r="AJ44" s="12"/>
      <c r="AK44" s="44" t="s">
        <v>51</v>
      </c>
      <c r="AL44" s="45">
        <f>57+RIGHT($B$2,1)-LEFT($B$2,1)</f>
        <v>58</v>
      </c>
      <c r="AM44" s="30"/>
      <c r="AN44" s="44" t="s">
        <v>78</v>
      </c>
      <c r="AO44" s="45">
        <f>69+RIGHT($B$2,1)-LEFT($B$2,1)</f>
        <v>70</v>
      </c>
      <c r="AP44" s="30"/>
      <c r="AQ44" s="44" t="s">
        <v>66</v>
      </c>
      <c r="AR44" s="45">
        <f>101+RIGHT($B$2,1)-LEFT($B$2,1)</f>
        <v>102</v>
      </c>
      <c r="AT44" s="12"/>
      <c r="AU44" s="32"/>
      <c r="AV44" s="50"/>
      <c r="AW44" s="32"/>
      <c r="AX44" s="32"/>
      <c r="AY44" s="50"/>
      <c r="AZ44" s="32"/>
      <c r="BA44" s="12"/>
      <c r="BB44" s="32"/>
      <c r="BC44" s="32"/>
      <c r="BD44" s="32"/>
      <c r="BE44" s="32"/>
      <c r="BF44" s="32"/>
      <c r="BG44" s="32"/>
      <c r="BH44" s="32"/>
      <c r="BI44" s="32"/>
      <c r="BJ44" s="32"/>
      <c r="BK44" s="12"/>
      <c r="BL44" s="32"/>
      <c r="BM44" s="32"/>
      <c r="BN44" s="32"/>
      <c r="BO44" s="32"/>
      <c r="BP44" s="32"/>
      <c r="BQ44" s="32"/>
      <c r="BR44" s="32"/>
      <c r="BS44" s="32"/>
      <c r="BT44" s="32"/>
      <c r="BU44" s="12"/>
      <c r="BV44" s="32"/>
      <c r="BW44" s="50"/>
      <c r="BX44" s="32"/>
      <c r="BY44" s="32"/>
      <c r="BZ44" s="50"/>
      <c r="CA44" s="32"/>
      <c r="CB44" s="12"/>
      <c r="CC44" s="32"/>
      <c r="CD44" s="50"/>
      <c r="CE44" s="32"/>
      <c r="CF44" s="32"/>
      <c r="CG44" s="50"/>
      <c r="CH44" s="32"/>
      <c r="CI44" s="12"/>
      <c r="CJ44" s="32"/>
      <c r="CK44" s="68"/>
      <c r="CL44" s="32"/>
      <c r="CM44" s="32"/>
      <c r="CN44" s="68"/>
      <c r="CO44" s="32"/>
      <c r="CP44" s="12"/>
      <c r="CQ44" s="32"/>
      <c r="CR44" s="68"/>
      <c r="CS44" s="32"/>
      <c r="CT44" s="32"/>
      <c r="CU44" s="68"/>
      <c r="CV44" s="32"/>
      <c r="CW44" s="12"/>
      <c r="CX44" s="32"/>
      <c r="CY44" s="68"/>
      <c r="CZ44" s="32"/>
      <c r="DA44" s="32"/>
      <c r="DB44" s="68"/>
      <c r="DC44" s="32"/>
      <c r="DD44" s="12"/>
      <c r="DE44" s="32"/>
      <c r="DF44" s="68"/>
      <c r="DG44" s="32"/>
      <c r="DH44" s="32"/>
      <c r="DI44" s="68"/>
      <c r="DJ44" s="32"/>
      <c r="DK44" s="12"/>
    </row>
    <row r="45" spans="1:115" s="11" customFormat="1" ht="18" x14ac:dyDescent="0.2">
      <c r="H45" s="12"/>
      <c r="V45" s="12"/>
      <c r="AJ45" s="12"/>
      <c r="AK45" s="44" t="s">
        <v>52</v>
      </c>
      <c r="AL45" s="45">
        <f>58+RIGHT($B$2,1)-LEFT($B$2,1)</f>
        <v>59</v>
      </c>
      <c r="AM45" s="30"/>
      <c r="AN45" s="44" t="s">
        <v>55</v>
      </c>
      <c r="AO45" s="45">
        <f>73+RIGHT($B$2,1)-LEFT($B$2,1)</f>
        <v>74</v>
      </c>
      <c r="AP45" s="30"/>
      <c r="AQ45" s="44" t="s">
        <v>42</v>
      </c>
      <c r="AR45" s="45">
        <f>101+RIGHT($B$2,1)-LEFT($B$2,1)</f>
        <v>102</v>
      </c>
      <c r="AT45" s="12"/>
      <c r="AU45" s="32"/>
      <c r="AV45" s="50"/>
      <c r="AW45" s="32"/>
      <c r="AX45" s="32"/>
      <c r="AY45" s="50"/>
      <c r="AZ45" s="32"/>
      <c r="BA45" s="12"/>
      <c r="BB45" s="32"/>
      <c r="BC45" s="32"/>
      <c r="BD45" s="32"/>
      <c r="BE45" s="32"/>
      <c r="BF45" s="32"/>
      <c r="BG45" s="32"/>
      <c r="BH45" s="32"/>
      <c r="BI45" s="32"/>
      <c r="BJ45" s="32"/>
      <c r="BK45" s="12"/>
      <c r="BL45" s="32"/>
      <c r="BM45" s="32"/>
      <c r="BN45" s="32"/>
      <c r="BO45" s="32"/>
      <c r="BP45" s="32"/>
      <c r="BQ45" s="32"/>
      <c r="BR45" s="32"/>
      <c r="BS45" s="32"/>
      <c r="BT45" s="32"/>
      <c r="BU45" s="12"/>
      <c r="BV45" s="32"/>
      <c r="BW45" s="50"/>
      <c r="BX45" s="32"/>
      <c r="BY45" s="32"/>
      <c r="BZ45" s="50"/>
      <c r="CA45" s="32"/>
      <c r="CB45" s="12"/>
      <c r="CC45" s="32"/>
      <c r="CD45" s="50"/>
      <c r="CE45" s="32"/>
      <c r="CF45" s="32"/>
      <c r="CG45" s="50"/>
      <c r="CH45" s="32"/>
      <c r="CI45" s="12"/>
      <c r="CJ45" s="32"/>
      <c r="CK45" s="68"/>
      <c r="CL45" s="32"/>
      <c r="CM45" s="32"/>
      <c r="CN45" s="68"/>
      <c r="CO45" s="32"/>
      <c r="CP45" s="12"/>
      <c r="CQ45" s="32"/>
      <c r="CR45" s="68"/>
      <c r="CS45" s="32"/>
      <c r="CT45" s="32"/>
      <c r="CU45" s="68"/>
      <c r="CV45" s="32"/>
      <c r="CW45" s="12"/>
      <c r="CX45" s="32"/>
      <c r="CY45" s="68"/>
      <c r="CZ45" s="32"/>
      <c r="DA45" s="32"/>
      <c r="DB45" s="68"/>
      <c r="DC45" s="32"/>
      <c r="DD45" s="12"/>
      <c r="DE45" s="32"/>
      <c r="DF45" s="68"/>
      <c r="DG45" s="32"/>
      <c r="DH45" s="32"/>
      <c r="DI45" s="68"/>
      <c r="DJ45" s="32"/>
      <c r="DK45" s="12"/>
    </row>
    <row r="46" spans="1:115" s="11" customFormat="1" ht="18" x14ac:dyDescent="0.2">
      <c r="H46" s="12"/>
      <c r="V46" s="12"/>
      <c r="AJ46" s="12"/>
      <c r="AK46" s="44" t="s">
        <v>53</v>
      </c>
      <c r="AL46" s="45">
        <f>58+RIGHT($B$2,1)-LEFT($B$2,1)</f>
        <v>59</v>
      </c>
      <c r="AM46" s="30"/>
      <c r="AN46" s="44" t="s">
        <v>50</v>
      </c>
      <c r="AO46" s="45">
        <f>75+RIGHT($B$2,1)-LEFT($B$2,1)</f>
        <v>76</v>
      </c>
      <c r="AP46" s="30"/>
      <c r="AQ46" s="44" t="s">
        <v>50</v>
      </c>
      <c r="AR46" s="45">
        <f>103+RIGHT($B$2,1)-LEFT($B$2,1)</f>
        <v>104</v>
      </c>
      <c r="AT46" s="12"/>
      <c r="AU46" s="32"/>
      <c r="AV46" s="50"/>
      <c r="AW46" s="32"/>
      <c r="AX46" s="32"/>
      <c r="AY46" s="50"/>
      <c r="AZ46" s="32"/>
      <c r="BA46" s="12"/>
      <c r="BB46" s="32"/>
      <c r="BC46" s="32"/>
      <c r="BD46" s="32"/>
      <c r="BE46" s="32"/>
      <c r="BF46" s="32"/>
      <c r="BG46" s="32"/>
      <c r="BH46" s="32"/>
      <c r="BI46" s="32"/>
      <c r="BJ46" s="32"/>
      <c r="BK46" s="12"/>
      <c r="BL46" s="32"/>
      <c r="BM46" s="32"/>
      <c r="BN46" s="32"/>
      <c r="BO46" s="32"/>
      <c r="BP46" s="32"/>
      <c r="BQ46" s="32"/>
      <c r="BR46" s="32"/>
      <c r="BS46" s="32"/>
      <c r="BT46" s="32"/>
      <c r="BU46" s="12"/>
      <c r="BV46" s="32"/>
      <c r="BW46" s="50"/>
      <c r="BX46" s="32"/>
      <c r="BY46" s="32"/>
      <c r="BZ46" s="50"/>
      <c r="CA46" s="32"/>
      <c r="CB46" s="12"/>
      <c r="CC46" s="32"/>
      <c r="CD46" s="50"/>
      <c r="CE46" s="32"/>
      <c r="CF46" s="32"/>
      <c r="CG46" s="50"/>
      <c r="CH46" s="32"/>
      <c r="CI46" s="12"/>
      <c r="CJ46" s="32"/>
      <c r="CK46" s="68"/>
      <c r="CL46" s="32"/>
      <c r="CM46" s="32"/>
      <c r="CN46" s="68"/>
      <c r="CO46" s="32"/>
      <c r="CP46" s="12"/>
      <c r="CQ46" s="32"/>
      <c r="CR46" s="68"/>
      <c r="CS46" s="32"/>
      <c r="CT46" s="32"/>
      <c r="CU46" s="68"/>
      <c r="CV46" s="32"/>
      <c r="CW46" s="12"/>
      <c r="CX46" s="32"/>
      <c r="CY46" s="68"/>
      <c r="CZ46" s="32"/>
      <c r="DA46" s="32"/>
      <c r="DB46" s="68"/>
      <c r="DC46" s="32"/>
      <c r="DD46" s="12"/>
      <c r="DE46" s="32"/>
      <c r="DF46" s="68"/>
      <c r="DG46" s="32"/>
      <c r="DH46" s="32"/>
      <c r="DI46" s="68"/>
      <c r="DJ46" s="32"/>
      <c r="DK46" s="12"/>
    </row>
    <row r="47" spans="1:115" s="11" customFormat="1" ht="18" x14ac:dyDescent="0.2">
      <c r="H47" s="12"/>
      <c r="V47" s="12"/>
      <c r="AJ47" s="12"/>
      <c r="AK47" s="44" t="s">
        <v>54</v>
      </c>
      <c r="AL47" s="45">
        <f>59+RIGHT($B$2,1)-LEFT($B$2,1)</f>
        <v>60</v>
      </c>
      <c r="AM47" s="30"/>
      <c r="AN47" s="44" t="s">
        <v>67</v>
      </c>
      <c r="AO47" s="45">
        <f>80+RIGHT($B$2,1)-LEFT($B$2,1)</f>
        <v>81</v>
      </c>
      <c r="AP47" s="30"/>
      <c r="AQ47" s="44" t="s">
        <v>69</v>
      </c>
      <c r="AR47" s="45">
        <f>105+RIGHT($B$2,1)-LEFT($B$2,1)</f>
        <v>106</v>
      </c>
      <c r="AT47" s="12"/>
      <c r="AU47" s="32"/>
      <c r="AV47" s="50"/>
      <c r="AW47" s="32"/>
      <c r="AX47" s="32"/>
      <c r="AY47" s="50"/>
      <c r="AZ47" s="32"/>
      <c r="BA47" s="12"/>
      <c r="BB47" s="32"/>
      <c r="BC47" s="32"/>
      <c r="BD47" s="32"/>
      <c r="BE47" s="32"/>
      <c r="BF47" s="32"/>
      <c r="BG47" s="32"/>
      <c r="BH47" s="32"/>
      <c r="BI47" s="32"/>
      <c r="BJ47" s="32"/>
      <c r="BK47" s="12"/>
      <c r="BL47" s="32"/>
      <c r="BM47" s="32"/>
      <c r="BN47" s="32"/>
      <c r="BO47" s="32"/>
      <c r="BP47" s="32"/>
      <c r="BQ47" s="32"/>
      <c r="BR47" s="32"/>
      <c r="BS47" s="32"/>
      <c r="BT47" s="32"/>
      <c r="BU47" s="12"/>
      <c r="BV47" s="32"/>
      <c r="BW47" s="50"/>
      <c r="BX47" s="32"/>
      <c r="BY47" s="32"/>
      <c r="BZ47" s="50"/>
      <c r="CA47" s="32"/>
      <c r="CB47" s="12"/>
      <c r="CC47" s="32"/>
      <c r="CD47" s="50"/>
      <c r="CE47" s="32"/>
      <c r="CF47" s="32"/>
      <c r="CG47" s="50"/>
      <c r="CH47" s="32"/>
      <c r="CI47" s="12"/>
      <c r="CJ47" s="32"/>
      <c r="CK47" s="68"/>
      <c r="CL47" s="32"/>
      <c r="CM47" s="32"/>
      <c r="CN47" s="68"/>
      <c r="CO47" s="32"/>
      <c r="CP47" s="12"/>
      <c r="CQ47" s="32"/>
      <c r="CR47" s="68"/>
      <c r="CS47" s="32"/>
      <c r="CT47" s="32"/>
      <c r="CU47" s="68"/>
      <c r="CV47" s="32"/>
      <c r="CW47" s="12"/>
      <c r="CX47" s="32"/>
      <c r="CY47" s="68"/>
      <c r="CZ47" s="32"/>
      <c r="DA47" s="32"/>
      <c r="DB47" s="68"/>
      <c r="DC47" s="32"/>
      <c r="DD47" s="12"/>
      <c r="DE47" s="32"/>
      <c r="DF47" s="68"/>
      <c r="DG47" s="32"/>
      <c r="DH47" s="32"/>
      <c r="DI47" s="68"/>
      <c r="DJ47" s="32"/>
      <c r="DK47" s="12"/>
    </row>
    <row r="48" spans="1:115" s="11" customFormat="1" ht="18" x14ac:dyDescent="0.2">
      <c r="H48" s="12"/>
      <c r="V48" s="12"/>
      <c r="AJ48" s="12"/>
      <c r="AK48" s="44" t="s">
        <v>55</v>
      </c>
      <c r="AL48" s="45">
        <f>60+RIGHT($B$2,1)-LEFT($B$2,1)</f>
        <v>61</v>
      </c>
      <c r="AM48" s="30"/>
      <c r="AN48" s="44" t="s">
        <v>69</v>
      </c>
      <c r="AO48" s="45">
        <f>82+RIGHT($B$2,1)-LEFT($B$2,1)</f>
        <v>83</v>
      </c>
      <c r="AP48" s="30"/>
      <c r="AQ48" s="44" t="s">
        <v>65</v>
      </c>
      <c r="AR48" s="45">
        <f>105+RIGHT($B$2,1)-LEFT($B$2,1)</f>
        <v>106</v>
      </c>
      <c r="AT48" s="12"/>
      <c r="AU48" s="32"/>
      <c r="AV48" s="50"/>
      <c r="AW48" s="32"/>
      <c r="AX48" s="32"/>
      <c r="AY48" s="50"/>
      <c r="AZ48" s="32"/>
      <c r="BA48" s="12"/>
      <c r="BB48" s="32"/>
      <c r="BC48" s="32"/>
      <c r="BD48" s="32"/>
      <c r="BE48" s="32"/>
      <c r="BF48" s="32"/>
      <c r="BG48" s="32"/>
      <c r="BH48" s="32"/>
      <c r="BI48" s="32"/>
      <c r="BJ48" s="32"/>
      <c r="BK48" s="12"/>
      <c r="BL48" s="32"/>
      <c r="BM48" s="32"/>
      <c r="BN48" s="32"/>
      <c r="BO48" s="32"/>
      <c r="BP48" s="32"/>
      <c r="BQ48" s="32"/>
      <c r="BR48" s="32"/>
      <c r="BS48" s="32"/>
      <c r="BT48" s="32"/>
      <c r="BU48" s="12"/>
      <c r="BV48" s="32"/>
      <c r="BW48" s="50"/>
      <c r="BX48" s="32"/>
      <c r="BY48" s="32"/>
      <c r="BZ48" s="50"/>
      <c r="CA48" s="32"/>
      <c r="CB48" s="12"/>
      <c r="CC48" s="32"/>
      <c r="CD48" s="50"/>
      <c r="CE48" s="32"/>
      <c r="CF48" s="32"/>
      <c r="CG48" s="50"/>
      <c r="CH48" s="32"/>
      <c r="CI48" s="12"/>
      <c r="CJ48" s="32"/>
      <c r="CK48" s="68"/>
      <c r="CL48" s="32"/>
      <c r="CM48" s="32"/>
      <c r="CN48" s="68"/>
      <c r="CO48" s="32"/>
      <c r="CP48" s="12"/>
      <c r="CQ48" s="32"/>
      <c r="CR48" s="68"/>
      <c r="CS48" s="32"/>
      <c r="CT48" s="32"/>
      <c r="CU48" s="68"/>
      <c r="CV48" s="32"/>
      <c r="CW48" s="12"/>
      <c r="CX48" s="32"/>
      <c r="CY48" s="68"/>
      <c r="CZ48" s="32"/>
      <c r="DA48" s="32"/>
      <c r="DB48" s="68"/>
      <c r="DC48" s="32"/>
      <c r="DD48" s="12"/>
      <c r="DE48" s="32"/>
      <c r="DF48" s="68"/>
      <c r="DG48" s="32"/>
      <c r="DH48" s="32"/>
      <c r="DI48" s="68"/>
      <c r="DJ48" s="32"/>
      <c r="DK48" s="12"/>
    </row>
    <row r="49" spans="8:115" s="11" customFormat="1" ht="18" x14ac:dyDescent="0.2">
      <c r="H49" s="12"/>
      <c r="V49" s="12"/>
      <c r="AJ49" s="12"/>
      <c r="AK49" s="44" t="s">
        <v>56</v>
      </c>
      <c r="AL49" s="45">
        <f>60+RIGHT($B$2,1)-LEFT($B$2,1)</f>
        <v>61</v>
      </c>
      <c r="AM49" s="30"/>
      <c r="AN49" s="44" t="s">
        <v>57</v>
      </c>
      <c r="AO49" s="45">
        <f>83+RIGHT($B$2,1)-LEFT($B$2,1)</f>
        <v>84</v>
      </c>
      <c r="AP49" s="30"/>
      <c r="AQ49" s="44" t="s">
        <v>68</v>
      </c>
      <c r="AR49" s="45">
        <f>110+RIGHT($B$2,1)-LEFT($B$2,1)</f>
        <v>111</v>
      </c>
      <c r="AT49" s="12"/>
      <c r="AU49" s="32"/>
      <c r="AV49" s="50"/>
      <c r="AW49" s="32"/>
      <c r="AX49" s="32"/>
      <c r="AY49" s="50"/>
      <c r="AZ49" s="32"/>
      <c r="BA49" s="12"/>
      <c r="BB49" s="32"/>
      <c r="BC49" s="32"/>
      <c r="BD49" s="32"/>
      <c r="BE49" s="32"/>
      <c r="BF49" s="32"/>
      <c r="BG49" s="32"/>
      <c r="BH49" s="32"/>
      <c r="BI49" s="32"/>
      <c r="BJ49" s="32"/>
      <c r="BK49" s="12"/>
      <c r="BL49" s="32"/>
      <c r="BM49" s="32"/>
      <c r="BN49" s="32"/>
      <c r="BO49" s="32"/>
      <c r="BP49" s="32"/>
      <c r="BQ49" s="32"/>
      <c r="BR49" s="32"/>
      <c r="BS49" s="32"/>
      <c r="BT49" s="32"/>
      <c r="BU49" s="12"/>
      <c r="BV49" s="32"/>
      <c r="BW49" s="50"/>
      <c r="BX49" s="32"/>
      <c r="BY49" s="32"/>
      <c r="BZ49" s="50"/>
      <c r="CA49" s="32"/>
      <c r="CB49" s="12"/>
      <c r="CC49" s="32"/>
      <c r="CD49" s="50"/>
      <c r="CE49" s="32"/>
      <c r="CF49" s="32"/>
      <c r="CG49" s="50"/>
      <c r="CH49" s="32"/>
      <c r="CI49" s="12"/>
      <c r="CJ49" s="32"/>
      <c r="CK49" s="68"/>
      <c r="CL49" s="32"/>
      <c r="CM49" s="32"/>
      <c r="CN49" s="68"/>
      <c r="CO49" s="32"/>
      <c r="CP49" s="12"/>
      <c r="CQ49" s="32"/>
      <c r="CR49" s="68"/>
      <c r="CS49" s="32"/>
      <c r="CT49" s="32"/>
      <c r="CU49" s="68"/>
      <c r="CV49" s="32"/>
      <c r="CW49" s="12"/>
      <c r="CX49" s="32"/>
      <c r="CY49" s="68"/>
      <c r="CZ49" s="32"/>
      <c r="DA49" s="32"/>
      <c r="DB49" s="68"/>
      <c r="DC49" s="32"/>
      <c r="DD49" s="12"/>
      <c r="DE49" s="32"/>
      <c r="DF49" s="68"/>
      <c r="DG49" s="32"/>
      <c r="DH49" s="32"/>
      <c r="DI49" s="68"/>
      <c r="DJ49" s="32"/>
      <c r="DK49" s="12"/>
    </row>
    <row r="50" spans="8:115" s="11" customFormat="1" ht="18" x14ac:dyDescent="0.2">
      <c r="H50" s="12"/>
      <c r="V50" s="12"/>
      <c r="AJ50" s="12"/>
      <c r="AK50" s="44" t="s">
        <v>57</v>
      </c>
      <c r="AL50" s="45">
        <f>61+RIGHT($B$2,1)-LEFT($B$2,1)</f>
        <v>62</v>
      </c>
      <c r="AM50" s="30"/>
      <c r="AN50" s="44" t="s">
        <v>52</v>
      </c>
      <c r="AO50" s="45">
        <f>83+RIGHT($B$2,1)-LEFT($B$2,1)</f>
        <v>84</v>
      </c>
      <c r="AP50" s="30"/>
      <c r="AQ50" s="44" t="s">
        <v>56</v>
      </c>
      <c r="AR50" s="45">
        <f>111+RIGHT($B$2,1)-LEFT($B$2,1)</f>
        <v>112</v>
      </c>
      <c r="AT50" s="12"/>
      <c r="AU50" s="32"/>
      <c r="AV50" s="50"/>
      <c r="AW50" s="32"/>
      <c r="AX50" s="32"/>
      <c r="AY50" s="50"/>
      <c r="AZ50" s="32"/>
      <c r="BA50" s="12"/>
      <c r="BB50" s="32"/>
      <c r="BC50" s="32"/>
      <c r="BD50" s="32"/>
      <c r="BE50" s="32"/>
      <c r="BF50" s="32"/>
      <c r="BG50" s="32"/>
      <c r="BH50" s="32"/>
      <c r="BI50" s="32"/>
      <c r="BJ50" s="32"/>
      <c r="BK50" s="12"/>
      <c r="BL50" s="32"/>
      <c r="BM50" s="32"/>
      <c r="BN50" s="32"/>
      <c r="BO50" s="32"/>
      <c r="BP50" s="32"/>
      <c r="BQ50" s="32"/>
      <c r="BR50" s="32"/>
      <c r="BS50" s="32"/>
      <c r="BT50" s="32"/>
      <c r="BU50" s="12"/>
      <c r="BV50" s="32"/>
      <c r="BW50" s="50"/>
      <c r="BX50" s="32"/>
      <c r="BY50" s="32"/>
      <c r="BZ50" s="50"/>
      <c r="CA50" s="32"/>
      <c r="CB50" s="12"/>
      <c r="CC50" s="32"/>
      <c r="CD50" s="50"/>
      <c r="CE50" s="32"/>
      <c r="CF50" s="32"/>
      <c r="CG50" s="50"/>
      <c r="CH50" s="32"/>
      <c r="CI50" s="12"/>
      <c r="CJ50" s="32"/>
      <c r="CK50" s="68"/>
      <c r="CL50" s="32"/>
      <c r="CM50" s="32"/>
      <c r="CN50" s="68"/>
      <c r="CO50" s="32"/>
      <c r="CP50" s="12"/>
      <c r="CQ50" s="32"/>
      <c r="CR50" s="68"/>
      <c r="CS50" s="32"/>
      <c r="CT50" s="32"/>
      <c r="CU50" s="68"/>
      <c r="CV50" s="32"/>
      <c r="CW50" s="12"/>
      <c r="CX50" s="32"/>
      <c r="CY50" s="68"/>
      <c r="CZ50" s="32"/>
      <c r="DA50" s="32"/>
      <c r="DB50" s="68"/>
      <c r="DC50" s="32"/>
      <c r="DD50" s="12"/>
      <c r="DE50" s="32"/>
      <c r="DF50" s="68"/>
      <c r="DG50" s="32"/>
      <c r="DH50" s="32"/>
      <c r="DI50" s="68"/>
      <c r="DJ50" s="32"/>
      <c r="DK50" s="12"/>
    </row>
    <row r="51" spans="8:115" s="11" customFormat="1" ht="18" x14ac:dyDescent="0.2">
      <c r="H51" s="12"/>
      <c r="V51" s="12"/>
      <c r="AJ51" s="12"/>
      <c r="AK51" s="44" t="s">
        <v>58</v>
      </c>
      <c r="AL51" s="45">
        <f>64+RIGHT($B$2,1)-LEFT($B$2,1)</f>
        <v>65</v>
      </c>
      <c r="AM51" s="30"/>
      <c r="AN51" s="44" t="s">
        <v>66</v>
      </c>
      <c r="AO51" s="45">
        <f>85+RIGHT($B$2,1)-LEFT($B$2,1)</f>
        <v>86</v>
      </c>
      <c r="AP51" s="30"/>
      <c r="AQ51" s="44" t="s">
        <v>60</v>
      </c>
      <c r="AR51" s="45">
        <f>115+RIGHT($B$2,1)-LEFT($B$2,1)</f>
        <v>116</v>
      </c>
      <c r="AT51" s="12"/>
      <c r="AU51" s="32"/>
      <c r="AV51" s="50"/>
      <c r="AW51" s="32"/>
      <c r="AX51" s="32"/>
      <c r="AY51" s="50"/>
      <c r="AZ51" s="32"/>
      <c r="BA51" s="12"/>
      <c r="BB51" s="32"/>
      <c r="BC51" s="32"/>
      <c r="BD51" s="32"/>
      <c r="BE51" s="32"/>
      <c r="BF51" s="32"/>
      <c r="BG51" s="32"/>
      <c r="BH51" s="32"/>
      <c r="BI51" s="32"/>
      <c r="BJ51" s="32"/>
      <c r="BK51" s="12"/>
      <c r="BL51" s="32"/>
      <c r="BM51" s="32"/>
      <c r="BN51" s="32"/>
      <c r="BO51" s="32"/>
      <c r="BP51" s="32"/>
      <c r="BQ51" s="32"/>
      <c r="BR51" s="32"/>
      <c r="BS51" s="32"/>
      <c r="BT51" s="32"/>
      <c r="BU51" s="12"/>
      <c r="BV51" s="32"/>
      <c r="BW51" s="50"/>
      <c r="BX51" s="32"/>
      <c r="BY51" s="32"/>
      <c r="BZ51" s="50"/>
      <c r="CA51" s="32"/>
      <c r="CB51" s="12"/>
      <c r="CC51" s="32"/>
      <c r="CD51" s="50"/>
      <c r="CE51" s="32"/>
      <c r="CF51" s="32"/>
      <c r="CG51" s="50"/>
      <c r="CH51" s="32"/>
      <c r="CI51" s="12"/>
      <c r="CJ51" s="32"/>
      <c r="CK51" s="68"/>
      <c r="CL51" s="32"/>
      <c r="CM51" s="32"/>
      <c r="CN51" s="68"/>
      <c r="CO51" s="32"/>
      <c r="CP51" s="12"/>
      <c r="CQ51" s="32"/>
      <c r="CR51" s="68"/>
      <c r="CS51" s="32"/>
      <c r="CT51" s="32"/>
      <c r="CU51" s="68"/>
      <c r="CV51" s="32"/>
      <c r="CW51" s="12"/>
      <c r="CX51" s="32"/>
      <c r="CY51" s="68"/>
      <c r="CZ51" s="32"/>
      <c r="DA51" s="32"/>
      <c r="DB51" s="68"/>
      <c r="DC51" s="32"/>
      <c r="DD51" s="12"/>
      <c r="DE51" s="32"/>
      <c r="DF51" s="68"/>
      <c r="DG51" s="32"/>
      <c r="DH51" s="32"/>
      <c r="DI51" s="68"/>
      <c r="DJ51" s="32"/>
      <c r="DK51" s="12"/>
    </row>
    <row r="52" spans="8:115" s="11" customFormat="1" ht="18" x14ac:dyDescent="0.2">
      <c r="H52" s="12"/>
      <c r="V52" s="12"/>
      <c r="AJ52" s="12"/>
      <c r="AK52" s="44" t="s">
        <v>59</v>
      </c>
      <c r="AL52" s="45">
        <f>64+RIGHT($B$2,1)-LEFT($B$2,1)</f>
        <v>65</v>
      </c>
      <c r="AM52" s="30"/>
      <c r="AN52" s="44" t="s">
        <v>46</v>
      </c>
      <c r="AO52" s="45">
        <f>85+RIGHT($B$2,1)-LEFT($B$2,1)</f>
        <v>86</v>
      </c>
      <c r="AP52" s="30"/>
      <c r="AQ52" s="44" t="s">
        <v>38</v>
      </c>
      <c r="AR52" s="45">
        <f>118+RIGHT($B$2,1)-LEFT($B$2,1)</f>
        <v>119</v>
      </c>
      <c r="AT52" s="12"/>
      <c r="AU52" s="32"/>
      <c r="AV52" s="50"/>
      <c r="AW52" s="32"/>
      <c r="AX52" s="32"/>
      <c r="AY52" s="50"/>
      <c r="AZ52" s="32"/>
      <c r="BA52" s="12"/>
      <c r="BB52" s="32"/>
      <c r="BC52" s="32"/>
      <c r="BD52" s="32"/>
      <c r="BE52" s="32"/>
      <c r="BF52" s="32"/>
      <c r="BG52" s="32"/>
      <c r="BH52" s="32"/>
      <c r="BI52" s="32"/>
      <c r="BJ52" s="32"/>
      <c r="BK52" s="12"/>
      <c r="BL52" s="32"/>
      <c r="BM52" s="32"/>
      <c r="BN52" s="32"/>
      <c r="BO52" s="32"/>
      <c r="BP52" s="32"/>
      <c r="BQ52" s="32"/>
      <c r="BR52" s="32"/>
      <c r="BS52" s="32"/>
      <c r="BT52" s="32"/>
      <c r="BU52" s="12"/>
      <c r="BV52" s="32"/>
      <c r="BW52" s="50"/>
      <c r="BX52" s="32"/>
      <c r="BY52" s="32"/>
      <c r="BZ52" s="50"/>
      <c r="CA52" s="32"/>
      <c r="CB52" s="12"/>
      <c r="CC52" s="32"/>
      <c r="CD52" s="50"/>
      <c r="CE52" s="32"/>
      <c r="CF52" s="32"/>
      <c r="CG52" s="50"/>
      <c r="CH52" s="32"/>
      <c r="CI52" s="12"/>
      <c r="CJ52" s="32"/>
      <c r="CK52" s="68"/>
      <c r="CL52" s="32"/>
      <c r="CM52" s="32"/>
      <c r="CN52" s="68"/>
      <c r="CO52" s="32"/>
      <c r="CP52" s="12"/>
      <c r="CQ52" s="32"/>
      <c r="CR52" s="68"/>
      <c r="CS52" s="32"/>
      <c r="CT52" s="32"/>
      <c r="CU52" s="68"/>
      <c r="CV52" s="32"/>
      <c r="CW52" s="12"/>
      <c r="CX52" s="32"/>
      <c r="CY52" s="68"/>
      <c r="CZ52" s="32"/>
      <c r="DA52" s="32"/>
      <c r="DB52" s="68"/>
      <c r="DC52" s="32"/>
      <c r="DD52" s="12"/>
      <c r="DE52" s="32"/>
      <c r="DF52" s="68"/>
      <c r="DG52" s="32"/>
      <c r="DH52" s="32"/>
      <c r="DI52" s="68"/>
      <c r="DJ52" s="32"/>
      <c r="DK52" s="12"/>
    </row>
    <row r="53" spans="8:115" s="11" customFormat="1" ht="18" x14ac:dyDescent="0.2">
      <c r="H53" s="12"/>
      <c r="V53" s="12"/>
      <c r="AJ53" s="12"/>
      <c r="AK53" s="44" t="s">
        <v>60</v>
      </c>
      <c r="AL53" s="45">
        <f>67+RIGHT($B$2,1)-LEFT($B$2,1)</f>
        <v>68</v>
      </c>
      <c r="AM53" s="30"/>
      <c r="AN53" s="44" t="s">
        <v>62</v>
      </c>
      <c r="AO53" s="45">
        <f>86+RIGHT($B$2,1)-LEFT($B$2,1)</f>
        <v>87</v>
      </c>
      <c r="AP53" s="30"/>
      <c r="AQ53" s="44" t="s">
        <v>45</v>
      </c>
      <c r="AR53" s="45">
        <f>120+RIGHT($B$2,1)-LEFT($B$2,1)</f>
        <v>121</v>
      </c>
      <c r="AT53" s="12"/>
      <c r="AU53" s="32"/>
      <c r="AV53" s="50"/>
      <c r="AW53" s="32"/>
      <c r="AX53" s="32"/>
      <c r="AY53" s="50"/>
      <c r="AZ53" s="32"/>
      <c r="BA53" s="12"/>
      <c r="BB53" s="32"/>
      <c r="BC53" s="32"/>
      <c r="BD53" s="32"/>
      <c r="BE53" s="32"/>
      <c r="BF53" s="32"/>
      <c r="BG53" s="32"/>
      <c r="BH53" s="32"/>
      <c r="BI53" s="32"/>
      <c r="BJ53" s="32"/>
      <c r="BK53" s="12"/>
      <c r="BL53" s="32"/>
      <c r="BM53" s="32"/>
      <c r="BN53" s="32"/>
      <c r="BO53" s="32"/>
      <c r="BP53" s="32"/>
      <c r="BQ53" s="32"/>
      <c r="BR53" s="32"/>
      <c r="BS53" s="32"/>
      <c r="BT53" s="32"/>
      <c r="BU53" s="12"/>
      <c r="BV53" s="32"/>
      <c r="BW53" s="50"/>
      <c r="BX53" s="32"/>
      <c r="BY53" s="32"/>
      <c r="BZ53" s="50"/>
      <c r="CA53" s="32"/>
      <c r="CB53" s="12"/>
      <c r="CC53" s="32"/>
      <c r="CD53" s="50"/>
      <c r="CE53" s="32"/>
      <c r="CF53" s="32"/>
      <c r="CG53" s="50"/>
      <c r="CH53" s="32"/>
      <c r="CI53" s="12"/>
      <c r="CJ53" s="32"/>
      <c r="CK53" s="68"/>
      <c r="CL53" s="32"/>
      <c r="CM53" s="32"/>
      <c r="CN53" s="68"/>
      <c r="CO53" s="32"/>
      <c r="CP53" s="12"/>
      <c r="CQ53" s="32"/>
      <c r="CR53" s="68"/>
      <c r="CS53" s="32"/>
      <c r="CT53" s="32"/>
      <c r="CU53" s="68"/>
      <c r="CV53" s="32"/>
      <c r="CW53" s="12"/>
      <c r="CX53" s="32"/>
      <c r="CY53" s="68"/>
      <c r="CZ53" s="32"/>
      <c r="DA53" s="32"/>
      <c r="DB53" s="68"/>
      <c r="DC53" s="32"/>
      <c r="DD53" s="12"/>
      <c r="DE53" s="32"/>
      <c r="DF53" s="68"/>
      <c r="DG53" s="32"/>
      <c r="DH53" s="32"/>
      <c r="DI53" s="68"/>
      <c r="DJ53" s="32"/>
      <c r="DK53" s="12"/>
    </row>
    <row r="54" spans="8:115" s="11" customFormat="1" ht="18" x14ac:dyDescent="0.2">
      <c r="H54" s="12"/>
      <c r="V54" s="12"/>
      <c r="AJ54" s="12"/>
      <c r="AK54" s="44" t="s">
        <v>61</v>
      </c>
      <c r="AL54" s="45">
        <f>67+RIGHT($B$2,1)-LEFT($B$2,1)</f>
        <v>68</v>
      </c>
      <c r="AM54" s="30"/>
      <c r="AN54" s="44" t="s">
        <v>56</v>
      </c>
      <c r="AO54" s="45">
        <f>86+RIGHT($B$2,1)-LEFT($B$2,1)</f>
        <v>87</v>
      </c>
      <c r="AP54" s="30"/>
      <c r="AQ54" s="44" t="s">
        <v>59</v>
      </c>
      <c r="AR54" s="45">
        <f>120+RIGHT($B$2,1)-LEFT($B$2,1)</f>
        <v>121</v>
      </c>
      <c r="AT54" s="12"/>
      <c r="AU54" s="32"/>
      <c r="AV54" s="50"/>
      <c r="AW54" s="32"/>
      <c r="AX54" s="32"/>
      <c r="AY54" s="50"/>
      <c r="AZ54" s="32"/>
      <c r="BA54" s="12"/>
      <c r="BB54" s="32"/>
      <c r="BC54" s="32"/>
      <c r="BD54" s="32"/>
      <c r="BE54" s="32"/>
      <c r="BF54" s="32"/>
      <c r="BG54" s="32"/>
      <c r="BH54" s="32"/>
      <c r="BI54" s="32"/>
      <c r="BJ54" s="32"/>
      <c r="BK54" s="12"/>
      <c r="BL54" s="32"/>
      <c r="BM54" s="32"/>
      <c r="BN54" s="32"/>
      <c r="BO54" s="32"/>
      <c r="BP54" s="32"/>
      <c r="BQ54" s="32"/>
      <c r="BR54" s="32"/>
      <c r="BS54" s="32"/>
      <c r="BT54" s="32"/>
      <c r="BU54" s="12"/>
      <c r="BV54" s="32"/>
      <c r="BW54" s="50"/>
      <c r="BX54" s="32"/>
      <c r="BY54" s="32"/>
      <c r="BZ54" s="50"/>
      <c r="CA54" s="32"/>
      <c r="CB54" s="12"/>
      <c r="CC54" s="32"/>
      <c r="CD54" s="50"/>
      <c r="CE54" s="32"/>
      <c r="CF54" s="32"/>
      <c r="CG54" s="50"/>
      <c r="CH54" s="32"/>
      <c r="CI54" s="12"/>
      <c r="CJ54" s="32"/>
      <c r="CK54" s="68"/>
      <c r="CL54" s="32"/>
      <c r="CM54" s="32"/>
      <c r="CN54" s="68"/>
      <c r="CO54" s="32"/>
      <c r="CP54" s="12"/>
      <c r="CQ54" s="32"/>
      <c r="CR54" s="68"/>
      <c r="CS54" s="32"/>
      <c r="CT54" s="32"/>
      <c r="CU54" s="68"/>
      <c r="CV54" s="32"/>
      <c r="CW54" s="12"/>
      <c r="CX54" s="32"/>
      <c r="CY54" s="68"/>
      <c r="CZ54" s="32"/>
      <c r="DA54" s="32"/>
      <c r="DB54" s="68"/>
      <c r="DC54" s="32"/>
      <c r="DD54" s="12"/>
      <c r="DE54" s="32"/>
      <c r="DF54" s="68"/>
      <c r="DG54" s="32"/>
      <c r="DH54" s="32"/>
      <c r="DI54" s="68"/>
      <c r="DJ54" s="32"/>
      <c r="DK54" s="12"/>
    </row>
    <row r="55" spans="8:115" s="11" customFormat="1" ht="18" x14ac:dyDescent="0.2">
      <c r="H55" s="12"/>
      <c r="V55" s="12"/>
      <c r="AJ55" s="12"/>
      <c r="AK55" s="44" t="s">
        <v>62</v>
      </c>
      <c r="AL55" s="45">
        <f>68+RIGHT($B$2,1)-LEFT($B$2,1)</f>
        <v>69</v>
      </c>
      <c r="AM55" s="30"/>
      <c r="AN55" s="44" t="s">
        <v>68</v>
      </c>
      <c r="AO55" s="45">
        <f>87+RIGHT($B$2,1)-LEFT($B$2,1)</f>
        <v>88</v>
      </c>
      <c r="AP55" s="30"/>
      <c r="AQ55" s="44" t="s">
        <v>57</v>
      </c>
      <c r="AR55" s="45">
        <f>121+RIGHT($B$2,1)-LEFT($B$2,1)</f>
        <v>122</v>
      </c>
      <c r="AT55" s="12"/>
      <c r="AU55" s="32"/>
      <c r="AV55" s="50"/>
      <c r="AW55" s="32"/>
      <c r="AX55" s="32"/>
      <c r="AY55" s="50"/>
      <c r="AZ55" s="32"/>
      <c r="BA55" s="12"/>
      <c r="BB55" s="32"/>
      <c r="BC55" s="32"/>
      <c r="BD55" s="32"/>
      <c r="BE55" s="32"/>
      <c r="BF55" s="32"/>
      <c r="BG55" s="32"/>
      <c r="BH55" s="32"/>
      <c r="BI55" s="32"/>
      <c r="BJ55" s="32"/>
      <c r="BK55" s="12"/>
      <c r="BL55" s="32"/>
      <c r="BM55" s="32"/>
      <c r="BN55" s="32"/>
      <c r="BO55" s="32"/>
      <c r="BP55" s="32"/>
      <c r="BQ55" s="32"/>
      <c r="BR55" s="32"/>
      <c r="BS55" s="32"/>
      <c r="BT55" s="32"/>
      <c r="BU55" s="12"/>
      <c r="BV55" s="32"/>
      <c r="BW55" s="50"/>
      <c r="BX55" s="32"/>
      <c r="BY55" s="32"/>
      <c r="BZ55" s="50"/>
      <c r="CA55" s="32"/>
      <c r="CB55" s="12"/>
      <c r="CC55" s="32"/>
      <c r="CD55" s="50"/>
      <c r="CE55" s="32"/>
      <c r="CF55" s="32"/>
      <c r="CG55" s="50"/>
      <c r="CH55" s="32"/>
      <c r="CI55" s="12"/>
      <c r="CJ55" s="32"/>
      <c r="CK55" s="68"/>
      <c r="CL55" s="32"/>
      <c r="CM55" s="32"/>
      <c r="CN55" s="68"/>
      <c r="CO55" s="32"/>
      <c r="CP55" s="12"/>
      <c r="CQ55" s="32"/>
      <c r="CR55" s="68"/>
      <c r="CS55" s="32"/>
      <c r="CT55" s="32"/>
      <c r="CU55" s="68"/>
      <c r="CV55" s="32"/>
      <c r="CW55" s="12"/>
      <c r="CX55" s="32"/>
      <c r="CY55" s="68"/>
      <c r="CZ55" s="32"/>
      <c r="DA55" s="32"/>
      <c r="DB55" s="68"/>
      <c r="DC55" s="32"/>
      <c r="DD55" s="12"/>
      <c r="DE55" s="32"/>
      <c r="DF55" s="68"/>
      <c r="DG55" s="32"/>
      <c r="DH55" s="32"/>
      <c r="DI55" s="68"/>
      <c r="DJ55" s="32"/>
      <c r="DK55" s="12"/>
    </row>
    <row r="56" spans="8:115" s="11" customFormat="1" ht="18" x14ac:dyDescent="0.2">
      <c r="H56" s="12"/>
      <c r="V56" s="12"/>
      <c r="AJ56" s="12"/>
      <c r="AK56" s="44" t="s">
        <v>63</v>
      </c>
      <c r="AL56" s="45">
        <f>68+RIGHT($B$2,1)-LEFT($B$2,1)</f>
        <v>69</v>
      </c>
      <c r="AM56" s="30"/>
      <c r="AN56" s="44" t="s">
        <v>54</v>
      </c>
      <c r="AO56" s="45">
        <f>87+RIGHT($B$2,1)-LEFT($B$2,1)</f>
        <v>88</v>
      </c>
      <c r="AP56" s="30"/>
      <c r="AQ56" s="44" t="s">
        <v>43</v>
      </c>
      <c r="AR56" s="45">
        <f>124+RIGHT($B$2,1)-LEFT($B$2,1)</f>
        <v>125</v>
      </c>
      <c r="AT56" s="12"/>
      <c r="AU56" s="32"/>
      <c r="AV56" s="50"/>
      <c r="AW56" s="32"/>
      <c r="AX56" s="32"/>
      <c r="AY56" s="50"/>
      <c r="AZ56" s="32"/>
      <c r="BA56" s="12"/>
      <c r="BB56" s="32"/>
      <c r="BC56" s="32"/>
      <c r="BD56" s="32"/>
      <c r="BE56" s="32"/>
      <c r="BF56" s="32"/>
      <c r="BG56" s="32"/>
      <c r="BH56" s="32"/>
      <c r="BI56" s="32"/>
      <c r="BJ56" s="32"/>
      <c r="BK56" s="12"/>
      <c r="BL56" s="32"/>
      <c r="BM56" s="32"/>
      <c r="BN56" s="32"/>
      <c r="BO56" s="32"/>
      <c r="BP56" s="32"/>
      <c r="BQ56" s="32"/>
      <c r="BR56" s="32"/>
      <c r="BS56" s="32"/>
      <c r="BT56" s="32"/>
      <c r="BU56" s="12"/>
      <c r="BV56" s="32"/>
      <c r="BW56" s="50"/>
      <c r="BX56" s="32"/>
      <c r="BY56" s="32"/>
      <c r="BZ56" s="50"/>
      <c r="CA56" s="32"/>
      <c r="CB56" s="12"/>
      <c r="CC56" s="32"/>
      <c r="CD56" s="50"/>
      <c r="CE56" s="32"/>
      <c r="CF56" s="32"/>
      <c r="CG56" s="50"/>
      <c r="CH56" s="32"/>
      <c r="CI56" s="12"/>
      <c r="CJ56" s="32"/>
      <c r="CK56" s="68"/>
      <c r="CL56" s="32"/>
      <c r="CM56" s="32"/>
      <c r="CN56" s="68"/>
      <c r="CO56" s="32"/>
      <c r="CP56" s="12"/>
      <c r="CQ56" s="32"/>
      <c r="CR56" s="68"/>
      <c r="CS56" s="32"/>
      <c r="CT56" s="32"/>
      <c r="CU56" s="68"/>
      <c r="CV56" s="32"/>
      <c r="CW56" s="12"/>
      <c r="CX56" s="32"/>
      <c r="CY56" s="68"/>
      <c r="CZ56" s="32"/>
      <c r="DA56" s="32"/>
      <c r="DB56" s="68"/>
      <c r="DC56" s="32"/>
      <c r="DD56" s="12"/>
      <c r="DE56" s="32"/>
      <c r="DF56" s="68"/>
      <c r="DG56" s="32"/>
      <c r="DH56" s="32"/>
      <c r="DI56" s="68"/>
      <c r="DJ56" s="32"/>
      <c r="DK56" s="12"/>
    </row>
    <row r="57" spans="8:115" s="11" customFormat="1" ht="18" x14ac:dyDescent="0.2">
      <c r="H57" s="12"/>
      <c r="V57" s="12"/>
      <c r="AJ57" s="12"/>
      <c r="AK57" s="44" t="s">
        <v>64</v>
      </c>
      <c r="AL57" s="45">
        <f>68+RIGHT($B$2,1)-LEFT($B$2,1)</f>
        <v>69</v>
      </c>
      <c r="AM57" s="30"/>
      <c r="AN57" s="44" t="s">
        <v>43</v>
      </c>
      <c r="AO57" s="45">
        <f>89+RIGHT($B$2,1)-LEFT($B$2,1)</f>
        <v>90</v>
      </c>
      <c r="AP57" s="30"/>
      <c r="AQ57" s="44" t="s">
        <v>46</v>
      </c>
      <c r="AR57" s="45">
        <f>124+RIGHT($B$2,1)-LEFT($B$2,1)</f>
        <v>125</v>
      </c>
      <c r="AT57" s="12"/>
      <c r="AU57" s="32"/>
      <c r="AV57" s="50"/>
      <c r="AW57" s="32"/>
      <c r="AX57" s="32"/>
      <c r="AY57" s="50"/>
      <c r="AZ57" s="32"/>
      <c r="BA57" s="12"/>
      <c r="BB57" s="32"/>
      <c r="BC57" s="32"/>
      <c r="BD57" s="32"/>
      <c r="BE57" s="32"/>
      <c r="BF57" s="32"/>
      <c r="BG57" s="32"/>
      <c r="BH57" s="32"/>
      <c r="BI57" s="32"/>
      <c r="BJ57" s="32"/>
      <c r="BK57" s="12"/>
      <c r="BL57" s="32"/>
      <c r="BM57" s="32"/>
      <c r="BN57" s="32"/>
      <c r="BO57" s="32"/>
      <c r="BP57" s="32"/>
      <c r="BQ57" s="32"/>
      <c r="BR57" s="32"/>
      <c r="BS57" s="32"/>
      <c r="BT57" s="32"/>
      <c r="BU57" s="12"/>
      <c r="BV57" s="32"/>
      <c r="BW57" s="50"/>
      <c r="BX57" s="32"/>
      <c r="BY57" s="32"/>
      <c r="BZ57" s="50"/>
      <c r="CA57" s="32"/>
      <c r="CB57" s="12"/>
      <c r="CC57" s="32"/>
      <c r="CD57" s="50"/>
      <c r="CE57" s="32"/>
      <c r="CF57" s="32"/>
      <c r="CG57" s="50"/>
      <c r="CH57" s="32"/>
      <c r="CI57" s="12"/>
      <c r="CJ57" s="32"/>
      <c r="CK57" s="68"/>
      <c r="CL57" s="32"/>
      <c r="CM57" s="32"/>
      <c r="CN57" s="68"/>
      <c r="CO57" s="32"/>
      <c r="CP57" s="12"/>
      <c r="CQ57" s="32"/>
      <c r="CR57" s="68"/>
      <c r="CS57" s="32"/>
      <c r="CT57" s="32"/>
      <c r="CU57" s="68"/>
      <c r="CV57" s="32"/>
      <c r="CW57" s="12"/>
      <c r="CX57" s="32"/>
      <c r="CY57" s="68"/>
      <c r="CZ57" s="32"/>
      <c r="DA57" s="32"/>
      <c r="DB57" s="68"/>
      <c r="DC57" s="32"/>
      <c r="DD57" s="12"/>
      <c r="DE57" s="32"/>
      <c r="DF57" s="68"/>
      <c r="DG57" s="32"/>
      <c r="DH57" s="32"/>
      <c r="DI57" s="68"/>
      <c r="DJ57" s="32"/>
      <c r="DK57" s="12"/>
    </row>
    <row r="58" spans="8:115" s="11" customFormat="1" ht="18" x14ac:dyDescent="0.2">
      <c r="H58" s="12"/>
      <c r="V58" s="12"/>
      <c r="AJ58" s="12"/>
      <c r="AK58" s="44" t="s">
        <v>65</v>
      </c>
      <c r="AL58" s="45">
        <f>69+RIGHT($B$2,1)-LEFT($B$2,1)</f>
        <v>70</v>
      </c>
      <c r="AM58" s="30"/>
      <c r="AN58" s="44" t="s">
        <v>59</v>
      </c>
      <c r="AO58" s="45">
        <f>89+RIGHT($B$2,1)-LEFT($B$2,1)</f>
        <v>90</v>
      </c>
      <c r="AP58" s="30"/>
      <c r="AQ58" s="44" t="s">
        <v>72</v>
      </c>
      <c r="AR58" s="45">
        <f>126+RIGHT($B$2,1)-LEFT($B$2,1)</f>
        <v>127</v>
      </c>
      <c r="AT58" s="12"/>
      <c r="AU58" s="32"/>
      <c r="AV58" s="50"/>
      <c r="AW58" s="32"/>
      <c r="AX58" s="32"/>
      <c r="AY58" s="50"/>
      <c r="AZ58" s="32"/>
      <c r="BA58" s="12"/>
      <c r="BB58" s="32"/>
      <c r="BC58" s="32"/>
      <c r="BD58" s="32"/>
      <c r="BE58" s="32"/>
      <c r="BF58" s="32"/>
      <c r="BG58" s="32"/>
      <c r="BH58" s="32"/>
      <c r="BI58" s="32"/>
      <c r="BJ58" s="32"/>
      <c r="BK58" s="12"/>
      <c r="BL58" s="32"/>
      <c r="BM58" s="32"/>
      <c r="BN58" s="32"/>
      <c r="BO58" s="32"/>
      <c r="BP58" s="32"/>
      <c r="BQ58" s="32"/>
      <c r="BR58" s="32"/>
      <c r="BS58" s="32"/>
      <c r="BT58" s="32"/>
      <c r="BU58" s="12"/>
      <c r="BV58" s="32"/>
      <c r="BW58" s="50"/>
      <c r="BX58" s="32"/>
      <c r="BY58" s="32"/>
      <c r="BZ58" s="50"/>
      <c r="CA58" s="32"/>
      <c r="CB58" s="12"/>
      <c r="CC58" s="32"/>
      <c r="CD58" s="50"/>
      <c r="CE58" s="32"/>
      <c r="CF58" s="32"/>
      <c r="CG58" s="50"/>
      <c r="CH58" s="32"/>
      <c r="CI58" s="12"/>
      <c r="CJ58" s="32"/>
      <c r="CK58" s="68"/>
      <c r="CL58" s="32"/>
      <c r="CM58" s="32"/>
      <c r="CN58" s="68"/>
      <c r="CO58" s="32"/>
      <c r="CP58" s="12"/>
      <c r="CQ58" s="32"/>
      <c r="CR58" s="68"/>
      <c r="CS58" s="32"/>
      <c r="CT58" s="32"/>
      <c r="CU58" s="68"/>
      <c r="CV58" s="32"/>
      <c r="CW58" s="12"/>
      <c r="CX58" s="32"/>
      <c r="CY58" s="68"/>
      <c r="CZ58" s="32"/>
      <c r="DA58" s="32"/>
      <c r="DB58" s="68"/>
      <c r="DC58" s="32"/>
      <c r="DD58" s="12"/>
      <c r="DE58" s="32"/>
      <c r="DF58" s="68"/>
      <c r="DG58" s="32"/>
      <c r="DH58" s="32"/>
      <c r="DI58" s="68"/>
      <c r="DJ58" s="32"/>
      <c r="DK58" s="12"/>
    </row>
    <row r="59" spans="8:115" s="11" customFormat="1" ht="18" x14ac:dyDescent="0.2">
      <c r="H59" s="12"/>
      <c r="V59" s="12"/>
      <c r="AJ59" s="12"/>
      <c r="AK59" s="44" t="s">
        <v>66</v>
      </c>
      <c r="AL59" s="45">
        <f>69+RIGHT($B$2,1)-LEFT($B$2,1)</f>
        <v>70</v>
      </c>
      <c r="AM59" s="30"/>
      <c r="AN59" s="44" t="s">
        <v>61</v>
      </c>
      <c r="AO59" s="45">
        <f>91+RIGHT($B$2,1)-LEFT($B$2,1)</f>
        <v>92</v>
      </c>
      <c r="AP59" s="30"/>
      <c r="AQ59" s="44" t="s">
        <v>78</v>
      </c>
      <c r="AR59" s="45">
        <f>127+RIGHT($B$2,1)-LEFT($B$2,1)</f>
        <v>128</v>
      </c>
      <c r="AT59" s="12"/>
      <c r="AU59" s="32"/>
      <c r="AV59" s="50"/>
      <c r="AW59" s="32"/>
      <c r="AX59" s="32"/>
      <c r="AY59" s="50"/>
      <c r="AZ59" s="32"/>
      <c r="BA59" s="12"/>
      <c r="BB59" s="32"/>
      <c r="BC59" s="32"/>
      <c r="BD59" s="32"/>
      <c r="BE59" s="32"/>
      <c r="BF59" s="32"/>
      <c r="BG59" s="32"/>
      <c r="BH59" s="32"/>
      <c r="BI59" s="32"/>
      <c r="BJ59" s="32"/>
      <c r="BK59" s="12"/>
      <c r="BL59" s="32"/>
      <c r="BM59" s="32"/>
      <c r="BN59" s="32"/>
      <c r="BO59" s="32"/>
      <c r="BP59" s="32"/>
      <c r="BQ59" s="32"/>
      <c r="BR59" s="32"/>
      <c r="BS59" s="32"/>
      <c r="BT59" s="32"/>
      <c r="BU59" s="12"/>
      <c r="BV59" s="32"/>
      <c r="BW59" s="50"/>
      <c r="BX59" s="32"/>
      <c r="BY59" s="32"/>
      <c r="BZ59" s="50"/>
      <c r="CA59" s="32"/>
      <c r="CB59" s="12"/>
      <c r="CC59" s="32"/>
      <c r="CD59" s="50"/>
      <c r="CE59" s="32"/>
      <c r="CF59" s="32"/>
      <c r="CG59" s="50"/>
      <c r="CH59" s="32"/>
      <c r="CI59" s="12"/>
      <c r="CJ59" s="32"/>
      <c r="CK59" s="68"/>
      <c r="CL59" s="32"/>
      <c r="CM59" s="32"/>
      <c r="CN59" s="68"/>
      <c r="CO59" s="32"/>
      <c r="CP59" s="12"/>
      <c r="CQ59" s="32"/>
      <c r="CR59" s="68"/>
      <c r="CS59" s="32"/>
      <c r="CT59" s="32"/>
      <c r="CU59" s="68"/>
      <c r="CV59" s="32"/>
      <c r="CW59" s="12"/>
      <c r="CX59" s="32"/>
      <c r="CY59" s="68"/>
      <c r="CZ59" s="32"/>
      <c r="DA59" s="32"/>
      <c r="DB59" s="68"/>
      <c r="DC59" s="32"/>
      <c r="DD59" s="12"/>
      <c r="DE59" s="32"/>
      <c r="DF59" s="68"/>
      <c r="DG59" s="32"/>
      <c r="DH59" s="32"/>
      <c r="DI59" s="68"/>
      <c r="DJ59" s="32"/>
      <c r="DK59" s="12"/>
    </row>
    <row r="60" spans="8:115" s="11" customFormat="1" ht="18" x14ac:dyDescent="0.2">
      <c r="H60" s="12"/>
      <c r="V60" s="12"/>
      <c r="AJ60" s="12"/>
      <c r="AK60" s="44" t="s">
        <v>67</v>
      </c>
      <c r="AL60" s="45">
        <f>70+RIGHT($B$2,1)-LEFT($B$2,1)</f>
        <v>71</v>
      </c>
      <c r="AM60" s="30"/>
      <c r="AN60" s="44" t="s">
        <v>65</v>
      </c>
      <c r="AO60" s="45">
        <f>92+RIGHT($B$2,1)-LEFT($B$2,1)</f>
        <v>93</v>
      </c>
      <c r="AP60" s="30"/>
      <c r="AQ60" s="44" t="s">
        <v>61</v>
      </c>
      <c r="AR60" s="45">
        <f>128+RIGHT($B$2,1)-LEFT($B$2,1)</f>
        <v>129</v>
      </c>
      <c r="AT60" s="12"/>
      <c r="AU60" s="32"/>
      <c r="AV60" s="50"/>
      <c r="AW60" s="32"/>
      <c r="AX60" s="32"/>
      <c r="AY60" s="50"/>
      <c r="AZ60" s="32"/>
      <c r="BA60" s="12"/>
      <c r="BB60" s="32"/>
      <c r="BC60" s="32"/>
      <c r="BD60" s="32"/>
      <c r="BE60" s="32"/>
      <c r="BF60" s="32"/>
      <c r="BG60" s="32"/>
      <c r="BH60" s="32"/>
      <c r="BI60" s="32"/>
      <c r="BJ60" s="32"/>
      <c r="BK60" s="12"/>
      <c r="BL60" s="32"/>
      <c r="BM60" s="32"/>
      <c r="BN60" s="32"/>
      <c r="BO60" s="32"/>
      <c r="BP60" s="32"/>
      <c r="BQ60" s="32"/>
      <c r="BR60" s="32"/>
      <c r="BS60" s="32"/>
      <c r="BT60" s="32"/>
      <c r="BU60" s="12"/>
      <c r="BV60" s="32"/>
      <c r="BW60" s="50"/>
      <c r="BX60" s="32"/>
      <c r="BY60" s="32"/>
      <c r="BZ60" s="50"/>
      <c r="CA60" s="32"/>
      <c r="CB60" s="12"/>
      <c r="CC60" s="32"/>
      <c r="CD60" s="50"/>
      <c r="CE60" s="32"/>
      <c r="CF60" s="32"/>
      <c r="CG60" s="50"/>
      <c r="CH60" s="32"/>
      <c r="CI60" s="12"/>
      <c r="CJ60" s="32"/>
      <c r="CK60" s="68"/>
      <c r="CL60" s="32"/>
      <c r="CM60" s="32"/>
      <c r="CN60" s="68"/>
      <c r="CO60" s="32"/>
      <c r="CP60" s="12"/>
      <c r="CQ60" s="32"/>
      <c r="CR60" s="68"/>
      <c r="CS60" s="32"/>
      <c r="CT60" s="32"/>
      <c r="CU60" s="68"/>
      <c r="CV60" s="32"/>
      <c r="CW60" s="12"/>
      <c r="CX60" s="32"/>
      <c r="CY60" s="68"/>
      <c r="CZ60" s="32"/>
      <c r="DA60" s="32"/>
      <c r="DB60" s="68"/>
      <c r="DC60" s="32"/>
      <c r="DD60" s="12"/>
      <c r="DE60" s="32"/>
      <c r="DF60" s="68"/>
      <c r="DG60" s="32"/>
      <c r="DH60" s="32"/>
      <c r="DI60" s="68"/>
      <c r="DJ60" s="32"/>
      <c r="DK60" s="12"/>
    </row>
    <row r="61" spans="8:115" s="11" customFormat="1" ht="18" x14ac:dyDescent="0.2">
      <c r="H61" s="12"/>
      <c r="V61" s="12"/>
      <c r="AJ61" s="12"/>
      <c r="AK61" s="44" t="s">
        <v>68</v>
      </c>
      <c r="AL61" s="45">
        <f>71+RIGHT($B$2,1)-LEFT($B$2,1)</f>
        <v>72</v>
      </c>
      <c r="AM61" s="30"/>
      <c r="AN61" s="44" t="s">
        <v>60</v>
      </c>
      <c r="AO61" s="45">
        <f>93+RIGHT($B$2,1)-LEFT($B$2,1)</f>
        <v>94</v>
      </c>
      <c r="AP61" s="30"/>
      <c r="AQ61" s="44" t="s">
        <v>71</v>
      </c>
      <c r="AR61" s="45">
        <f>133+RIGHT($B$2,1)-LEFT($B$2,1)</f>
        <v>134</v>
      </c>
      <c r="AT61" s="12"/>
      <c r="AU61" s="32"/>
      <c r="AV61" s="50"/>
      <c r="AW61" s="32"/>
      <c r="AX61" s="32"/>
      <c r="AY61" s="50"/>
      <c r="AZ61" s="32"/>
      <c r="BA61" s="12"/>
      <c r="BB61" s="32"/>
      <c r="BC61" s="32"/>
      <c r="BD61" s="32"/>
      <c r="BE61" s="32"/>
      <c r="BF61" s="32"/>
      <c r="BG61" s="32"/>
      <c r="BH61" s="32"/>
      <c r="BI61" s="32"/>
      <c r="BJ61" s="32"/>
      <c r="BK61" s="12"/>
      <c r="BL61" s="32"/>
      <c r="BM61" s="32"/>
      <c r="BN61" s="32"/>
      <c r="BO61" s="32"/>
      <c r="BP61" s="32"/>
      <c r="BQ61" s="32"/>
      <c r="BR61" s="32"/>
      <c r="BS61" s="32"/>
      <c r="BT61" s="32"/>
      <c r="BU61" s="12"/>
      <c r="BV61" s="32"/>
      <c r="BW61" s="50"/>
      <c r="BX61" s="32"/>
      <c r="BY61" s="32"/>
      <c r="BZ61" s="50"/>
      <c r="CA61" s="32"/>
      <c r="CB61" s="12"/>
      <c r="CC61" s="32"/>
      <c r="CD61" s="50"/>
      <c r="CE61" s="32"/>
      <c r="CF61" s="32"/>
      <c r="CG61" s="50"/>
      <c r="CH61" s="32"/>
      <c r="CI61" s="12"/>
      <c r="CJ61" s="32"/>
      <c r="CK61" s="68"/>
      <c r="CL61" s="32"/>
      <c r="CM61" s="32"/>
      <c r="CN61" s="68"/>
      <c r="CO61" s="32"/>
      <c r="CP61" s="12"/>
      <c r="CQ61" s="32"/>
      <c r="CR61" s="68"/>
      <c r="CS61" s="32"/>
      <c r="CT61" s="32"/>
      <c r="CU61" s="68"/>
      <c r="CV61" s="32"/>
      <c r="CW61" s="12"/>
      <c r="CX61" s="32"/>
      <c r="CY61" s="68"/>
      <c r="CZ61" s="32"/>
      <c r="DA61" s="32"/>
      <c r="DB61" s="68"/>
      <c r="DC61" s="32"/>
      <c r="DD61" s="12"/>
      <c r="DE61" s="32"/>
      <c r="DF61" s="68"/>
      <c r="DG61" s="32"/>
      <c r="DH61" s="32"/>
      <c r="DI61" s="68"/>
      <c r="DJ61" s="32"/>
      <c r="DK61" s="12"/>
    </row>
    <row r="62" spans="8:115" s="11" customFormat="1" ht="18" x14ac:dyDescent="0.2">
      <c r="H62" s="12"/>
      <c r="V62" s="12"/>
      <c r="AJ62" s="12"/>
      <c r="AK62" s="44" t="s">
        <v>69</v>
      </c>
      <c r="AL62" s="45">
        <f>71+RIGHT($B$2,1)-LEFT($B$2,1)</f>
        <v>72</v>
      </c>
      <c r="AM62" s="30"/>
      <c r="AN62" s="44" t="s">
        <v>63</v>
      </c>
      <c r="AO62" s="45">
        <f>94+RIGHT($B$2,1)-LEFT($B$2,1)</f>
        <v>95</v>
      </c>
      <c r="AP62" s="30"/>
      <c r="AQ62" s="44" t="s">
        <v>73</v>
      </c>
      <c r="AR62" s="45">
        <f>135+RIGHT($B$2,1)-LEFT($B$2,1)</f>
        <v>136</v>
      </c>
      <c r="AT62" s="12"/>
      <c r="AU62" s="32"/>
      <c r="AV62" s="50"/>
      <c r="AW62" s="32"/>
      <c r="AX62" s="32"/>
      <c r="AY62" s="50"/>
      <c r="AZ62" s="32"/>
      <c r="BA62" s="12"/>
      <c r="BB62" s="32"/>
      <c r="BC62" s="32"/>
      <c r="BD62" s="32"/>
      <c r="BE62" s="32"/>
      <c r="BF62" s="32"/>
      <c r="BG62" s="32"/>
      <c r="BH62" s="32"/>
      <c r="BI62" s="32"/>
      <c r="BJ62" s="32"/>
      <c r="BK62" s="12"/>
      <c r="BL62" s="32"/>
      <c r="BM62" s="32"/>
      <c r="BN62" s="32"/>
      <c r="BO62" s="32"/>
      <c r="BP62" s="32"/>
      <c r="BQ62" s="32"/>
      <c r="BR62" s="32"/>
      <c r="BS62" s="32"/>
      <c r="BT62" s="32"/>
      <c r="BU62" s="12"/>
      <c r="BV62" s="32"/>
      <c r="BW62" s="50"/>
      <c r="BX62" s="32"/>
      <c r="BY62" s="32"/>
      <c r="BZ62" s="50"/>
      <c r="CA62" s="32"/>
      <c r="CB62" s="12"/>
      <c r="CC62" s="32"/>
      <c r="CD62" s="50"/>
      <c r="CE62" s="32"/>
      <c r="CF62" s="32"/>
      <c r="CG62" s="50"/>
      <c r="CH62" s="32"/>
      <c r="CI62" s="12"/>
      <c r="CJ62" s="32"/>
      <c r="CK62" s="68"/>
      <c r="CL62" s="32"/>
      <c r="CM62" s="32"/>
      <c r="CN62" s="68"/>
      <c r="CO62" s="32"/>
      <c r="CP62" s="12"/>
      <c r="CQ62" s="32"/>
      <c r="CR62" s="68"/>
      <c r="CS62" s="32"/>
      <c r="CT62" s="32"/>
      <c r="CU62" s="68"/>
      <c r="CV62" s="32"/>
      <c r="CW62" s="12"/>
      <c r="CX62" s="32"/>
      <c r="CY62" s="68"/>
      <c r="CZ62" s="32"/>
      <c r="DA62" s="32"/>
      <c r="DB62" s="68"/>
      <c r="DC62" s="32"/>
      <c r="DD62" s="12"/>
      <c r="DE62" s="32"/>
      <c r="DF62" s="68"/>
      <c r="DG62" s="32"/>
      <c r="DH62" s="32"/>
      <c r="DI62" s="68"/>
      <c r="DJ62" s="32"/>
      <c r="DK62" s="12"/>
    </row>
    <row r="63" spans="8:115" s="11" customFormat="1" ht="18" x14ac:dyDescent="0.2">
      <c r="H63" s="12"/>
      <c r="V63" s="12"/>
      <c r="AJ63" s="12"/>
      <c r="AK63" s="44" t="s">
        <v>70</v>
      </c>
      <c r="AL63" s="45">
        <f>73+RIGHT($B$2,1)-LEFT($B$2,1)</f>
        <v>74</v>
      </c>
      <c r="AM63" s="30"/>
      <c r="AN63" s="44" t="s">
        <v>71</v>
      </c>
      <c r="AO63" s="45">
        <f>99+RIGHT($B$2,1)-LEFT($B$2,1)</f>
        <v>100</v>
      </c>
      <c r="AP63" s="30"/>
      <c r="AQ63" s="44" t="s">
        <v>76</v>
      </c>
      <c r="AR63" s="45">
        <f>140+RIGHT($B$2,1)-LEFT($B$2,1)</f>
        <v>141</v>
      </c>
      <c r="AT63" s="12"/>
      <c r="AU63" s="32"/>
      <c r="AV63" s="50"/>
      <c r="AW63" s="32"/>
      <c r="AX63" s="32"/>
      <c r="AY63" s="50"/>
      <c r="AZ63" s="32"/>
      <c r="BA63" s="12"/>
      <c r="BB63" s="32"/>
      <c r="BC63" s="32"/>
      <c r="BD63" s="32"/>
      <c r="BE63" s="32"/>
      <c r="BF63" s="32"/>
      <c r="BG63" s="32"/>
      <c r="BH63" s="32"/>
      <c r="BI63" s="32"/>
      <c r="BJ63" s="32"/>
      <c r="BK63" s="12"/>
      <c r="BL63" s="32"/>
      <c r="BM63" s="32"/>
      <c r="BN63" s="32"/>
      <c r="BO63" s="32"/>
      <c r="BP63" s="32"/>
      <c r="BQ63" s="32"/>
      <c r="BR63" s="32"/>
      <c r="BS63" s="32"/>
      <c r="BT63" s="32"/>
      <c r="BU63" s="12"/>
      <c r="BV63" s="32"/>
      <c r="BW63" s="50"/>
      <c r="BX63" s="32"/>
      <c r="BY63" s="32"/>
      <c r="BZ63" s="50"/>
      <c r="CA63" s="32"/>
      <c r="CB63" s="12"/>
      <c r="CC63" s="32"/>
      <c r="CD63" s="50"/>
      <c r="CE63" s="32"/>
      <c r="CF63" s="32"/>
      <c r="CG63" s="50"/>
      <c r="CH63" s="32"/>
      <c r="CI63" s="12"/>
      <c r="CJ63" s="32"/>
      <c r="CK63" s="68"/>
      <c r="CL63" s="32"/>
      <c r="CM63" s="32"/>
      <c r="CN63" s="68"/>
      <c r="CO63" s="32"/>
      <c r="CP63" s="12"/>
      <c r="CQ63" s="32"/>
      <c r="CR63" s="68"/>
      <c r="CS63" s="32"/>
      <c r="CT63" s="32"/>
      <c r="CU63" s="68"/>
      <c r="CV63" s="32"/>
      <c r="CW63" s="12"/>
      <c r="CX63" s="32"/>
      <c r="CY63" s="68"/>
      <c r="CZ63" s="32"/>
      <c r="DA63" s="32"/>
      <c r="DB63" s="68"/>
      <c r="DC63" s="32"/>
      <c r="DD63" s="12"/>
      <c r="DE63" s="32"/>
      <c r="DF63" s="68"/>
      <c r="DG63" s="32"/>
      <c r="DH63" s="32"/>
      <c r="DI63" s="68"/>
      <c r="DJ63" s="32"/>
      <c r="DK63" s="12"/>
    </row>
    <row r="64" spans="8:115" s="11" customFormat="1" ht="18" x14ac:dyDescent="0.2">
      <c r="H64" s="12"/>
      <c r="V64" s="12"/>
      <c r="AJ64" s="12"/>
      <c r="AK64" s="44" t="s">
        <v>71</v>
      </c>
      <c r="AL64" s="45">
        <f>73+RIGHT($B$2,1)-LEFT($B$2,1)</f>
        <v>74</v>
      </c>
      <c r="AM64" s="30"/>
      <c r="AN64" s="44" t="s">
        <v>73</v>
      </c>
      <c r="AO64" s="45">
        <f>99+RIGHT($B$2,1)-LEFT($B$2,1)</f>
        <v>100</v>
      </c>
      <c r="AP64" s="30"/>
      <c r="AQ64" s="44" t="s">
        <v>75</v>
      </c>
      <c r="AR64" s="45">
        <f>141+RIGHT($B$2,1)-LEFT($B$2,1)</f>
        <v>142</v>
      </c>
      <c r="AT64" s="12"/>
      <c r="AU64" s="32"/>
      <c r="AV64" s="50"/>
      <c r="AW64" s="32"/>
      <c r="AX64" s="32"/>
      <c r="AY64" s="50"/>
      <c r="AZ64" s="32"/>
      <c r="BA64" s="12"/>
      <c r="BB64" s="32"/>
      <c r="BC64" s="32"/>
      <c r="BD64" s="32"/>
      <c r="BE64" s="32"/>
      <c r="BF64" s="32"/>
      <c r="BG64" s="32"/>
      <c r="BH64" s="32"/>
      <c r="BI64" s="32"/>
      <c r="BJ64" s="32"/>
      <c r="BK64" s="12"/>
      <c r="BL64" s="32"/>
      <c r="BM64" s="32"/>
      <c r="BN64" s="32"/>
      <c r="BO64" s="32"/>
      <c r="BP64" s="32"/>
      <c r="BQ64" s="32"/>
      <c r="BR64" s="32"/>
      <c r="BS64" s="32"/>
      <c r="BT64" s="32"/>
      <c r="BU64" s="12"/>
      <c r="BV64" s="32"/>
      <c r="BW64" s="50"/>
      <c r="BX64" s="32"/>
      <c r="BY64" s="32"/>
      <c r="BZ64" s="50"/>
      <c r="CA64" s="32"/>
      <c r="CB64" s="12"/>
      <c r="CC64" s="32"/>
      <c r="CD64" s="50"/>
      <c r="CE64" s="32"/>
      <c r="CF64" s="32"/>
      <c r="CG64" s="50"/>
      <c r="CH64" s="32"/>
      <c r="CI64" s="12"/>
      <c r="CJ64" s="32"/>
      <c r="CK64" s="68"/>
      <c r="CL64" s="32"/>
      <c r="CM64" s="32"/>
      <c r="CN64" s="68"/>
      <c r="CO64" s="32"/>
      <c r="CP64" s="12"/>
      <c r="CQ64" s="32"/>
      <c r="CR64" s="68"/>
      <c r="CS64" s="32"/>
      <c r="CT64" s="32"/>
      <c r="CU64" s="68"/>
      <c r="CV64" s="32"/>
      <c r="CW64" s="12"/>
      <c r="CX64" s="32"/>
      <c r="CY64" s="68"/>
      <c r="CZ64" s="32"/>
      <c r="DA64" s="32"/>
      <c r="DB64" s="68"/>
      <c r="DC64" s="32"/>
      <c r="DD64" s="12"/>
      <c r="DE64" s="32"/>
      <c r="DF64" s="68"/>
      <c r="DG64" s="32"/>
      <c r="DH64" s="32"/>
      <c r="DI64" s="68"/>
      <c r="DJ64" s="32"/>
      <c r="DK64" s="12"/>
    </row>
    <row r="65" spans="8:115" s="11" customFormat="1" ht="18" x14ac:dyDescent="0.2">
      <c r="H65" s="12"/>
      <c r="V65" s="12"/>
      <c r="AJ65" s="12"/>
      <c r="AK65" s="44" t="s">
        <v>72</v>
      </c>
      <c r="AL65" s="45">
        <f>75+RIGHT($B$2,1)-LEFT($B$2,1)</f>
        <v>76</v>
      </c>
      <c r="AM65" s="30"/>
      <c r="AN65" s="44" t="s">
        <v>64</v>
      </c>
      <c r="AO65" s="45">
        <f>102+RIGHT($B$2,1)-LEFT($B$2,1)</f>
        <v>103</v>
      </c>
      <c r="AP65" s="30"/>
      <c r="AQ65" s="44" t="s">
        <v>67</v>
      </c>
      <c r="AR65" s="45">
        <f>142+RIGHT($B$2,1)-LEFT($B$2,1)</f>
        <v>143</v>
      </c>
      <c r="AT65" s="12"/>
      <c r="AU65" s="32"/>
      <c r="AV65" s="50"/>
      <c r="AW65" s="32"/>
      <c r="AX65" s="32"/>
      <c r="AY65" s="50"/>
      <c r="AZ65" s="32"/>
      <c r="BA65" s="12"/>
      <c r="BB65" s="32"/>
      <c r="BC65" s="32"/>
      <c r="BD65" s="32"/>
      <c r="BE65" s="32"/>
      <c r="BF65" s="32"/>
      <c r="BG65" s="32"/>
      <c r="BH65" s="32"/>
      <c r="BI65" s="32"/>
      <c r="BJ65" s="32"/>
      <c r="BK65" s="12"/>
      <c r="BL65" s="32"/>
      <c r="BM65" s="32"/>
      <c r="BN65" s="32"/>
      <c r="BO65" s="32"/>
      <c r="BP65" s="32"/>
      <c r="BQ65" s="32"/>
      <c r="BR65" s="32"/>
      <c r="BS65" s="32"/>
      <c r="BT65" s="32"/>
      <c r="BU65" s="12"/>
      <c r="BV65" s="32"/>
      <c r="BW65" s="50"/>
      <c r="BX65" s="32"/>
      <c r="BY65" s="32"/>
      <c r="BZ65" s="50"/>
      <c r="CA65" s="32"/>
      <c r="CB65" s="12"/>
      <c r="CC65" s="32"/>
      <c r="CD65" s="50"/>
      <c r="CE65" s="32"/>
      <c r="CF65" s="32"/>
      <c r="CG65" s="50"/>
      <c r="CH65" s="32"/>
      <c r="CI65" s="12"/>
      <c r="CJ65" s="32"/>
      <c r="CK65" s="68"/>
      <c r="CL65" s="32"/>
      <c r="CM65" s="32"/>
      <c r="CN65" s="68"/>
      <c r="CO65" s="32"/>
      <c r="CP65" s="12"/>
      <c r="CQ65" s="32"/>
      <c r="CR65" s="68"/>
      <c r="CS65" s="32"/>
      <c r="CT65" s="32"/>
      <c r="CU65" s="68"/>
      <c r="CV65" s="32"/>
      <c r="CW65" s="12"/>
      <c r="CX65" s="32"/>
      <c r="CY65" s="68"/>
      <c r="CZ65" s="32"/>
      <c r="DA65" s="32"/>
      <c r="DB65" s="68"/>
      <c r="DC65" s="32"/>
      <c r="DD65" s="12"/>
      <c r="DE65" s="32"/>
      <c r="DF65" s="68"/>
      <c r="DG65" s="32"/>
      <c r="DH65" s="32"/>
      <c r="DI65" s="68"/>
      <c r="DJ65" s="32"/>
      <c r="DK65" s="12"/>
    </row>
    <row r="66" spans="8:115" s="11" customFormat="1" ht="18" x14ac:dyDescent="0.2">
      <c r="H66" s="12"/>
      <c r="V66" s="12"/>
      <c r="AJ66" s="12"/>
      <c r="AK66" s="44" t="s">
        <v>73</v>
      </c>
      <c r="AL66" s="45">
        <f>75+RIGHT($B$2,1)-LEFT($B$2,1)</f>
        <v>76</v>
      </c>
      <c r="AM66" s="30"/>
      <c r="AN66" s="44" t="s">
        <v>72</v>
      </c>
      <c r="AO66" s="45">
        <f>102+RIGHT($B$2,1)-LEFT($B$2,1)</f>
        <v>103</v>
      </c>
      <c r="AP66" s="30"/>
      <c r="AQ66" s="44" t="s">
        <v>77</v>
      </c>
      <c r="AR66" s="45">
        <f>144+RIGHT($B$2,1)-LEFT($B$2,1)</f>
        <v>145</v>
      </c>
      <c r="AT66" s="12"/>
      <c r="AU66" s="32"/>
      <c r="AV66" s="50"/>
      <c r="AW66" s="32"/>
      <c r="AX66" s="32"/>
      <c r="AY66" s="50"/>
      <c r="AZ66" s="32"/>
      <c r="BA66" s="12"/>
      <c r="BB66" s="32"/>
      <c r="BC66" s="32"/>
      <c r="BD66" s="32"/>
      <c r="BE66" s="32"/>
      <c r="BF66" s="32"/>
      <c r="BG66" s="32"/>
      <c r="BH66" s="32"/>
      <c r="BI66" s="32"/>
      <c r="BJ66" s="32"/>
      <c r="BK66" s="12"/>
      <c r="BL66" s="32"/>
      <c r="BM66" s="32"/>
      <c r="BN66" s="32"/>
      <c r="BO66" s="32"/>
      <c r="BP66" s="32"/>
      <c r="BQ66" s="32"/>
      <c r="BR66" s="32"/>
      <c r="BS66" s="32"/>
      <c r="BT66" s="32"/>
      <c r="BU66" s="12"/>
      <c r="BV66" s="32"/>
      <c r="BW66" s="50"/>
      <c r="BX66" s="32"/>
      <c r="BY66" s="32"/>
      <c r="BZ66" s="50"/>
      <c r="CA66" s="32"/>
      <c r="CB66" s="12"/>
      <c r="CC66" s="32"/>
      <c r="CD66" s="50"/>
      <c r="CE66" s="32"/>
      <c r="CF66" s="32"/>
      <c r="CG66" s="50"/>
      <c r="CH66" s="32"/>
      <c r="CI66" s="12"/>
      <c r="CJ66" s="32"/>
      <c r="CK66" s="68"/>
      <c r="CL66" s="32"/>
      <c r="CM66" s="32"/>
      <c r="CN66" s="68"/>
      <c r="CO66" s="32"/>
      <c r="CP66" s="12"/>
      <c r="CQ66" s="32"/>
      <c r="CR66" s="68"/>
      <c r="CS66" s="32"/>
      <c r="CT66" s="32"/>
      <c r="CU66" s="68"/>
      <c r="CV66" s="32"/>
      <c r="CW66" s="12"/>
      <c r="CX66" s="32"/>
      <c r="CY66" s="68"/>
      <c r="CZ66" s="32"/>
      <c r="DA66" s="32"/>
      <c r="DB66" s="68"/>
      <c r="DC66" s="32"/>
      <c r="DD66" s="12"/>
      <c r="DE66" s="32"/>
      <c r="DF66" s="68"/>
      <c r="DG66" s="32"/>
      <c r="DH66" s="32"/>
      <c r="DI66" s="68"/>
      <c r="DJ66" s="32"/>
      <c r="DK66" s="12"/>
    </row>
    <row r="67" spans="8:115" s="11" customFormat="1" ht="18" x14ac:dyDescent="0.2">
      <c r="H67" s="12"/>
      <c r="V67" s="12"/>
      <c r="AJ67" s="12"/>
      <c r="AK67" s="44" t="s">
        <v>74</v>
      </c>
      <c r="AL67" s="45">
        <f>80+RIGHT($B$2,1)-LEFT($B$2,1)</f>
        <v>81</v>
      </c>
      <c r="AM67" s="30"/>
      <c r="AN67" s="44" t="s">
        <v>75</v>
      </c>
      <c r="AO67" s="45">
        <f>103+RIGHT($B$2,1)-LEFT($B$2,1)</f>
        <v>104</v>
      </c>
      <c r="AP67" s="30"/>
      <c r="AQ67" s="44" t="s">
        <v>54</v>
      </c>
      <c r="AR67" s="45">
        <f>153+RIGHT($B$2,1)-LEFT($B$2,1)</f>
        <v>154</v>
      </c>
      <c r="AT67" s="12"/>
      <c r="AU67" s="32"/>
      <c r="AV67" s="50"/>
      <c r="AW67" s="32"/>
      <c r="AX67" s="32"/>
      <c r="AY67" s="50"/>
      <c r="AZ67" s="32"/>
      <c r="BA67" s="12"/>
      <c r="BB67" s="32"/>
      <c r="BC67" s="32"/>
      <c r="BD67" s="32"/>
      <c r="BE67" s="32"/>
      <c r="BF67" s="32"/>
      <c r="BG67" s="32"/>
      <c r="BH67" s="32"/>
      <c r="BI67" s="32"/>
      <c r="BJ67" s="32"/>
      <c r="BK67" s="12"/>
      <c r="BL67" s="32"/>
      <c r="BM67" s="32"/>
      <c r="BN67" s="32"/>
      <c r="BO67" s="32"/>
      <c r="BP67" s="32"/>
      <c r="BQ67" s="32"/>
      <c r="BR67" s="32"/>
      <c r="BS67" s="32"/>
      <c r="BT67" s="32"/>
      <c r="BU67" s="12"/>
      <c r="BV67" s="32"/>
      <c r="BW67" s="50"/>
      <c r="BX67" s="32"/>
      <c r="BY67" s="32"/>
      <c r="BZ67" s="50"/>
      <c r="CA67" s="32"/>
      <c r="CB67" s="12"/>
      <c r="CC67" s="32"/>
      <c r="CD67" s="50"/>
      <c r="CE67" s="32"/>
      <c r="CF67" s="32"/>
      <c r="CG67" s="50"/>
      <c r="CH67" s="32"/>
      <c r="CI67" s="12"/>
      <c r="CJ67" s="32"/>
      <c r="CK67" s="68"/>
      <c r="CL67" s="32"/>
      <c r="CM67" s="32"/>
      <c r="CN67" s="68"/>
      <c r="CO67" s="32"/>
      <c r="CP67" s="12"/>
      <c r="CQ67" s="32"/>
      <c r="CR67" s="68"/>
      <c r="CS67" s="32"/>
      <c r="CT67" s="32"/>
      <c r="CU67" s="68"/>
      <c r="CV67" s="32"/>
      <c r="CW67" s="12"/>
      <c r="CX67" s="32"/>
      <c r="CY67" s="68"/>
      <c r="CZ67" s="32"/>
      <c r="DA67" s="32"/>
      <c r="DB67" s="68"/>
      <c r="DC67" s="32"/>
      <c r="DD67" s="12"/>
      <c r="DE67" s="32"/>
      <c r="DF67" s="68"/>
      <c r="DG67" s="32"/>
      <c r="DH67" s="32"/>
      <c r="DI67" s="68"/>
      <c r="DJ67" s="32"/>
      <c r="DK67" s="12"/>
    </row>
    <row r="68" spans="8:115" s="11" customFormat="1" ht="18" x14ac:dyDescent="0.2">
      <c r="H68" s="12"/>
      <c r="V68" s="12"/>
      <c r="AJ68" s="12"/>
      <c r="AK68" s="44" t="s">
        <v>75</v>
      </c>
      <c r="AL68" s="45">
        <f>80+RIGHT($B$2,1)-LEFT($B$2,1)</f>
        <v>81</v>
      </c>
      <c r="AM68" s="30"/>
      <c r="AN68" s="44" t="s">
        <v>70</v>
      </c>
      <c r="AO68" s="45">
        <f>107+RIGHT($B$2,1)-LEFT($B$2,1)</f>
        <v>108</v>
      </c>
      <c r="AP68" s="30"/>
      <c r="AQ68" s="44" t="s">
        <v>70</v>
      </c>
      <c r="AR68" s="45">
        <f>158+RIGHT($B$2,1)-LEFT($B$2,1)</f>
        <v>159</v>
      </c>
      <c r="AT68" s="12"/>
      <c r="AU68" s="32"/>
      <c r="AV68" s="50"/>
      <c r="AW68" s="32"/>
      <c r="AX68" s="32"/>
      <c r="AY68" s="50"/>
      <c r="AZ68" s="32"/>
      <c r="BA68" s="12"/>
      <c r="BB68" s="32"/>
      <c r="BC68" s="32"/>
      <c r="BD68" s="32"/>
      <c r="BE68" s="32"/>
      <c r="BF68" s="32"/>
      <c r="BG68" s="32"/>
      <c r="BH68" s="32"/>
      <c r="BI68" s="32"/>
      <c r="BJ68" s="32"/>
      <c r="BK68" s="12"/>
      <c r="BL68" s="32"/>
      <c r="BM68" s="32"/>
      <c r="BN68" s="32"/>
      <c r="BO68" s="32"/>
      <c r="BP68" s="32"/>
      <c r="BQ68" s="32"/>
      <c r="BR68" s="32"/>
      <c r="BS68" s="32"/>
      <c r="BT68" s="32"/>
      <c r="BU68" s="12"/>
      <c r="BV68" s="32"/>
      <c r="BW68" s="50"/>
      <c r="BX68" s="32"/>
      <c r="BY68" s="32"/>
      <c r="BZ68" s="50"/>
      <c r="CA68" s="32"/>
      <c r="CB68" s="12"/>
      <c r="CC68" s="32"/>
      <c r="CD68" s="50"/>
      <c r="CE68" s="32"/>
      <c r="CF68" s="32"/>
      <c r="CG68" s="50"/>
      <c r="CH68" s="32"/>
      <c r="CI68" s="12"/>
      <c r="CJ68" s="32"/>
      <c r="CK68" s="68"/>
      <c r="CL68" s="32"/>
      <c r="CM68" s="32"/>
      <c r="CN68" s="68"/>
      <c r="CO68" s="32"/>
      <c r="CP68" s="12"/>
      <c r="CQ68" s="32"/>
      <c r="CR68" s="68"/>
      <c r="CS68" s="32"/>
      <c r="CT68" s="32"/>
      <c r="CU68" s="68"/>
      <c r="CV68" s="32"/>
      <c r="CW68" s="12"/>
      <c r="CX68" s="32"/>
      <c r="CY68" s="68"/>
      <c r="CZ68" s="32"/>
      <c r="DA68" s="32"/>
      <c r="DB68" s="68"/>
      <c r="DC68" s="32"/>
      <c r="DD68" s="12"/>
      <c r="DE68" s="32"/>
      <c r="DF68" s="68"/>
      <c r="DG68" s="32"/>
      <c r="DH68" s="32"/>
      <c r="DI68" s="68"/>
      <c r="DJ68" s="32"/>
      <c r="DK68" s="12"/>
    </row>
    <row r="69" spans="8:115" s="11" customFormat="1" ht="18" x14ac:dyDescent="0.2">
      <c r="H69" s="12"/>
      <c r="V69" s="12"/>
      <c r="AJ69" s="12"/>
      <c r="AK69" s="44" t="s">
        <v>76</v>
      </c>
      <c r="AL69" s="45">
        <f>83+RIGHT($B$2,1)-LEFT($B$2,1)</f>
        <v>84</v>
      </c>
      <c r="AM69" s="30"/>
      <c r="AN69" s="44" t="s">
        <v>76</v>
      </c>
      <c r="AO69" s="45">
        <f>112+RIGHT($B$2,1)-LEFT($B$2,1)</f>
        <v>113</v>
      </c>
      <c r="AP69" s="30"/>
      <c r="AQ69" s="44" t="s">
        <v>63</v>
      </c>
      <c r="AR69" s="45">
        <f>165+RIGHT($B$2,1)-LEFT($B$2,1)</f>
        <v>166</v>
      </c>
      <c r="AT69" s="12"/>
      <c r="AU69" s="32"/>
      <c r="AV69" s="50"/>
      <c r="AW69" s="32"/>
      <c r="AX69" s="32"/>
      <c r="AY69" s="50"/>
      <c r="AZ69" s="32"/>
      <c r="BA69" s="12"/>
      <c r="BB69" s="32"/>
      <c r="BC69" s="32"/>
      <c r="BD69" s="32"/>
      <c r="BE69" s="32"/>
      <c r="BF69" s="32"/>
      <c r="BG69" s="32"/>
      <c r="BH69" s="32"/>
      <c r="BI69" s="32"/>
      <c r="BJ69" s="32"/>
      <c r="BK69" s="12"/>
      <c r="BL69" s="32"/>
      <c r="BM69" s="32"/>
      <c r="BN69" s="32"/>
      <c r="BO69" s="32"/>
      <c r="BP69" s="32"/>
      <c r="BQ69" s="32"/>
      <c r="BR69" s="32"/>
      <c r="BS69" s="32"/>
      <c r="BT69" s="32"/>
      <c r="BU69" s="12"/>
      <c r="BV69" s="32"/>
      <c r="BW69" s="50"/>
      <c r="BX69" s="32"/>
      <c r="BY69" s="32"/>
      <c r="BZ69" s="50"/>
      <c r="CA69" s="32"/>
      <c r="CB69" s="12"/>
      <c r="CC69" s="32"/>
      <c r="CD69" s="50"/>
      <c r="CE69" s="32"/>
      <c r="CF69" s="32"/>
      <c r="CG69" s="50"/>
      <c r="CH69" s="32"/>
      <c r="CI69" s="12"/>
      <c r="CJ69" s="32"/>
      <c r="CK69" s="68"/>
      <c r="CL69" s="32"/>
      <c r="CM69" s="32"/>
      <c r="CN69" s="68"/>
      <c r="CO69" s="32"/>
      <c r="CP69" s="12"/>
      <c r="CQ69" s="32"/>
      <c r="CR69" s="68"/>
      <c r="CS69" s="32"/>
      <c r="CT69" s="32"/>
      <c r="CU69" s="68"/>
      <c r="CV69" s="32"/>
      <c r="CW69" s="12"/>
      <c r="CX69" s="32"/>
      <c r="CY69" s="68"/>
      <c r="CZ69" s="32"/>
      <c r="DA69" s="32"/>
      <c r="DB69" s="68"/>
      <c r="DC69" s="32"/>
      <c r="DD69" s="12"/>
      <c r="DE69" s="32"/>
      <c r="DF69" s="68"/>
      <c r="DG69" s="32"/>
      <c r="DH69" s="32"/>
      <c r="DI69" s="68"/>
      <c r="DJ69" s="32"/>
      <c r="DK69" s="12"/>
    </row>
    <row r="70" spans="8:115" s="11" customFormat="1" ht="18" x14ac:dyDescent="0.2">
      <c r="H70" s="12"/>
      <c r="V70" s="12"/>
      <c r="AJ70" s="12"/>
      <c r="AK70" s="44" t="s">
        <v>77</v>
      </c>
      <c r="AL70" s="45">
        <f>89+RIGHT($B$2,1)-LEFT($B$2,1)</f>
        <v>90</v>
      </c>
      <c r="AM70" s="30"/>
      <c r="AN70" s="44" t="s">
        <v>77</v>
      </c>
      <c r="AO70" s="45">
        <f>125+RIGHT($B$2,1)-LEFT($B$2,1)</f>
        <v>126</v>
      </c>
      <c r="AP70" s="30"/>
      <c r="AQ70" s="44" t="s">
        <v>64</v>
      </c>
      <c r="AR70" s="45">
        <f>167+RIGHT($B$2,1)-LEFT($B$2,1)</f>
        <v>168</v>
      </c>
      <c r="AT70" s="12"/>
      <c r="AU70" s="32"/>
      <c r="AV70" s="50"/>
      <c r="AW70" s="32"/>
      <c r="AX70" s="32"/>
      <c r="AY70" s="50"/>
      <c r="AZ70" s="32"/>
      <c r="BA70" s="12"/>
      <c r="BB70" s="32"/>
      <c r="BC70" s="32"/>
      <c r="BD70" s="32"/>
      <c r="BE70" s="32"/>
      <c r="BF70" s="32"/>
      <c r="BG70" s="32"/>
      <c r="BH70" s="32"/>
      <c r="BI70" s="32"/>
      <c r="BJ70" s="32"/>
      <c r="BK70" s="12"/>
      <c r="BL70" s="32"/>
      <c r="BM70" s="32"/>
      <c r="BN70" s="32"/>
      <c r="BO70" s="32"/>
      <c r="BP70" s="32"/>
      <c r="BQ70" s="32"/>
      <c r="BR70" s="32"/>
      <c r="BS70" s="32"/>
      <c r="BT70" s="32"/>
      <c r="BU70" s="12"/>
      <c r="BV70" s="32"/>
      <c r="BW70" s="50"/>
      <c r="BX70" s="32"/>
      <c r="BY70" s="32"/>
      <c r="BZ70" s="50"/>
      <c r="CA70" s="32"/>
      <c r="CB70" s="12"/>
      <c r="CC70" s="32"/>
      <c r="CD70" s="50"/>
      <c r="CE70" s="32"/>
      <c r="CF70" s="32"/>
      <c r="CG70" s="50"/>
      <c r="CH70" s="32"/>
      <c r="CI70" s="12"/>
      <c r="CJ70" s="32"/>
      <c r="CK70" s="68"/>
      <c r="CL70" s="32"/>
      <c r="CM70" s="32"/>
      <c r="CN70" s="68"/>
      <c r="CO70" s="32"/>
      <c r="CP70" s="12"/>
      <c r="CQ70" s="32"/>
      <c r="CR70" s="68"/>
      <c r="CS70" s="32"/>
      <c r="CT70" s="32"/>
      <c r="CU70" s="68"/>
      <c r="CV70" s="32"/>
      <c r="CW70" s="12"/>
      <c r="CX70" s="32"/>
      <c r="CY70" s="68"/>
      <c r="CZ70" s="32"/>
      <c r="DA70" s="32"/>
      <c r="DB70" s="68"/>
      <c r="DC70" s="32"/>
      <c r="DD70" s="12"/>
      <c r="DE70" s="32"/>
      <c r="DF70" s="68"/>
      <c r="DG70" s="32"/>
      <c r="DH70" s="32"/>
      <c r="DI70" s="68"/>
      <c r="DJ70" s="32"/>
      <c r="DK70" s="12"/>
    </row>
    <row r="71" spans="8:115" s="11" customFormat="1" ht="18" x14ac:dyDescent="0.2">
      <c r="H71" s="12"/>
      <c r="V71" s="12"/>
      <c r="AJ71" s="12"/>
      <c r="AK71" s="44" t="s">
        <v>78</v>
      </c>
      <c r="AL71" s="45">
        <f>99+RIGHT($B$2,1)-LEFT($B$2,1)</f>
        <v>100</v>
      </c>
      <c r="AM71" s="30"/>
      <c r="AN71" s="44" t="s">
        <v>74</v>
      </c>
      <c r="AO71" s="45">
        <f>129+RIGHT($B$2,1)-LEFT($B$2,1)</f>
        <v>130</v>
      </c>
      <c r="AP71" s="30"/>
      <c r="AQ71" s="44" t="s">
        <v>74</v>
      </c>
      <c r="AR71" s="45">
        <f>195+RIGHT($B$2,1)-LEFT($B$2,1)</f>
        <v>196</v>
      </c>
      <c r="AT71" s="12"/>
      <c r="AU71" s="32"/>
      <c r="AV71" s="50"/>
      <c r="AW71" s="32"/>
      <c r="AX71" s="32"/>
      <c r="AY71" s="50"/>
      <c r="AZ71" s="32"/>
      <c r="BA71" s="12"/>
      <c r="BB71" s="32"/>
      <c r="BC71" s="32"/>
      <c r="BD71" s="32"/>
      <c r="BE71" s="32"/>
      <c r="BF71" s="32"/>
      <c r="BG71" s="32"/>
      <c r="BH71" s="32"/>
      <c r="BI71" s="32"/>
      <c r="BJ71" s="32"/>
      <c r="BK71" s="12"/>
      <c r="BL71" s="32"/>
      <c r="BM71" s="32"/>
      <c r="BN71" s="32"/>
      <c r="BO71" s="32"/>
      <c r="BP71" s="32"/>
      <c r="BQ71" s="32"/>
      <c r="BR71" s="32"/>
      <c r="BS71" s="32"/>
      <c r="BT71" s="32"/>
      <c r="BU71" s="12"/>
      <c r="BV71" s="32"/>
      <c r="BW71" s="50"/>
      <c r="BX71" s="32"/>
      <c r="BY71" s="32"/>
      <c r="BZ71" s="50"/>
      <c r="CA71" s="32"/>
      <c r="CB71" s="12"/>
      <c r="CC71" s="32"/>
      <c r="CD71" s="50"/>
      <c r="CE71" s="32"/>
      <c r="CF71" s="32"/>
      <c r="CG71" s="50"/>
      <c r="CH71" s="32"/>
      <c r="CI71" s="12"/>
      <c r="CJ71" s="32"/>
      <c r="CK71" s="68"/>
      <c r="CL71" s="32"/>
      <c r="CM71" s="32"/>
      <c r="CN71" s="68"/>
      <c r="CO71" s="32"/>
      <c r="CP71" s="12"/>
      <c r="CQ71" s="32"/>
      <c r="CR71" s="68"/>
      <c r="CS71" s="32"/>
      <c r="CT71" s="32"/>
      <c r="CU71" s="68"/>
      <c r="CV71" s="32"/>
      <c r="CW71" s="12"/>
      <c r="CX71" s="32"/>
      <c r="CY71" s="68"/>
      <c r="CZ71" s="32"/>
      <c r="DA71" s="32"/>
      <c r="DB71" s="68"/>
      <c r="DC71" s="32"/>
      <c r="DD71" s="12"/>
      <c r="DE71" s="32"/>
      <c r="DF71" s="68"/>
      <c r="DG71" s="32"/>
      <c r="DH71" s="32"/>
      <c r="DI71" s="68"/>
      <c r="DJ71" s="32"/>
      <c r="DK71" s="12"/>
    </row>
    <row r="72" spans="8:115" s="11" customFormat="1" ht="18" x14ac:dyDescent="0.2">
      <c r="H72" s="12"/>
      <c r="V72" s="12"/>
      <c r="AJ72" s="12"/>
      <c r="AK72" s="46" t="s">
        <v>79</v>
      </c>
      <c r="AL72" s="47">
        <f>110+RIGHT($B$2,1)-LEFT($B$2,1)</f>
        <v>111</v>
      </c>
      <c r="AM72" s="30"/>
      <c r="AN72" s="46" t="s">
        <v>79</v>
      </c>
      <c r="AO72" s="47">
        <f>152+RIGHT($B$2,1)-LEFT($B$2,1)</f>
        <v>153</v>
      </c>
      <c r="AP72" s="30"/>
      <c r="AQ72" s="46" t="s">
        <v>79</v>
      </c>
      <c r="AR72" s="47">
        <f>200+RIGHT($B$2,1)-LEFT($B$2,1)</f>
        <v>201</v>
      </c>
      <c r="AT72" s="12"/>
      <c r="AU72" s="32"/>
      <c r="AV72" s="50"/>
      <c r="AW72" s="32"/>
      <c r="AX72" s="32"/>
      <c r="AY72" s="50"/>
      <c r="AZ72" s="32"/>
      <c r="BA72" s="12"/>
      <c r="BB72" s="32"/>
      <c r="BC72" s="32"/>
      <c r="BD72" s="32"/>
      <c r="BE72" s="32"/>
      <c r="BF72" s="32"/>
      <c r="BG72" s="32"/>
      <c r="BH72" s="32"/>
      <c r="BI72" s="32"/>
      <c r="BJ72" s="32"/>
      <c r="BK72" s="12"/>
      <c r="BL72" s="32"/>
      <c r="BM72" s="32"/>
      <c r="BN72" s="32"/>
      <c r="BO72" s="32"/>
      <c r="BP72" s="32"/>
      <c r="BQ72" s="32"/>
      <c r="BR72" s="32"/>
      <c r="BS72" s="32"/>
      <c r="BT72" s="32"/>
      <c r="BU72" s="12"/>
      <c r="BV72" s="32"/>
      <c r="BW72" s="50"/>
      <c r="BX72" s="32"/>
      <c r="BY72" s="32"/>
      <c r="BZ72" s="50"/>
      <c r="CA72" s="32"/>
      <c r="CB72" s="12"/>
      <c r="CC72" s="32"/>
      <c r="CD72" s="50"/>
      <c r="CE72" s="32"/>
      <c r="CF72" s="32"/>
      <c r="CG72" s="50"/>
      <c r="CH72" s="32"/>
      <c r="CI72" s="12"/>
      <c r="CJ72" s="32"/>
      <c r="CK72" s="68"/>
      <c r="CL72" s="32"/>
      <c r="CM72" s="32"/>
      <c r="CN72" s="68"/>
      <c r="CO72" s="32"/>
      <c r="CP72" s="12"/>
      <c r="CQ72" s="32"/>
      <c r="CR72" s="68"/>
      <c r="CS72" s="32"/>
      <c r="CT72" s="32"/>
      <c r="CU72" s="68"/>
      <c r="CV72" s="32"/>
      <c r="CW72" s="12"/>
      <c r="CX72" s="32"/>
      <c r="CY72" s="68"/>
      <c r="CZ72" s="32"/>
      <c r="DA72" s="32"/>
      <c r="DB72" s="68"/>
      <c r="DC72" s="32"/>
      <c r="DD72" s="12"/>
      <c r="DE72" s="32"/>
      <c r="DF72" s="68"/>
      <c r="DG72" s="32"/>
      <c r="DH72" s="32"/>
      <c r="DI72" s="68"/>
      <c r="DJ72" s="32"/>
      <c r="DK72" s="12"/>
    </row>
    <row r="73" spans="8:115" s="11" customFormat="1" ht="16" customHeight="1" x14ac:dyDescent="0.2">
      <c r="H73" s="12"/>
      <c r="V73" s="12"/>
      <c r="AJ73" s="12"/>
      <c r="AT73" s="12"/>
      <c r="AU73" s="32"/>
      <c r="AV73" s="50"/>
      <c r="AW73" s="32"/>
      <c r="AX73" s="32"/>
      <c r="AY73" s="50"/>
      <c r="AZ73" s="32"/>
      <c r="BA73" s="12"/>
      <c r="BK73" s="12"/>
      <c r="BU73" s="12"/>
      <c r="BV73" s="32"/>
      <c r="BW73" s="50"/>
      <c r="BX73" s="32"/>
      <c r="BY73" s="32"/>
      <c r="BZ73" s="50"/>
      <c r="CA73" s="32"/>
      <c r="CB73" s="12"/>
      <c r="CC73" s="32"/>
      <c r="CD73" s="50"/>
      <c r="CE73" s="32"/>
      <c r="CF73" s="32"/>
      <c r="CG73" s="50"/>
      <c r="CH73" s="32"/>
      <c r="CI73" s="12"/>
      <c r="CJ73" s="32"/>
      <c r="CK73" s="68"/>
      <c r="CL73" s="32"/>
      <c r="CM73" s="32"/>
      <c r="CN73" s="68"/>
      <c r="CO73" s="32"/>
      <c r="CP73" s="12"/>
      <c r="CQ73" s="32"/>
      <c r="CR73" s="68"/>
      <c r="CS73" s="32"/>
      <c r="CT73" s="32"/>
      <c r="CU73" s="68"/>
      <c r="CV73" s="32"/>
      <c r="CW73" s="12"/>
      <c r="CX73" s="32"/>
      <c r="CY73" s="68"/>
      <c r="CZ73" s="32"/>
      <c r="DA73" s="32"/>
      <c r="DB73" s="68"/>
      <c r="DC73" s="32"/>
      <c r="DD73" s="12"/>
      <c r="DE73" s="32"/>
      <c r="DF73" s="68"/>
      <c r="DG73" s="32"/>
      <c r="DH73" s="32"/>
      <c r="DI73" s="68"/>
      <c r="DJ73" s="32"/>
      <c r="DK73" s="12"/>
    </row>
    <row r="74" spans="8:115" s="16" customFormat="1" ht="18" x14ac:dyDescent="0.2">
      <c r="AV74" s="52"/>
      <c r="AY74" s="52"/>
      <c r="CJ74" s="32"/>
      <c r="CK74" s="68"/>
      <c r="CL74" s="32"/>
      <c r="CM74" s="32"/>
      <c r="CN74" s="68"/>
      <c r="CO74" s="32"/>
    </row>
    <row r="75" spans="8:115" s="16" customFormat="1" ht="18" x14ac:dyDescent="0.2">
      <c r="AV75" s="52"/>
      <c r="AY75" s="52"/>
      <c r="CJ75" s="32"/>
      <c r="CK75" s="68"/>
      <c r="CL75" s="32"/>
      <c r="CM75" s="32"/>
      <c r="CN75" s="68"/>
      <c r="CO75" s="32"/>
    </row>
    <row r="76" spans="8:115" s="16" customFormat="1" ht="18" x14ac:dyDescent="0.2">
      <c r="AV76" s="52"/>
      <c r="AY76" s="52"/>
      <c r="CJ76" s="32"/>
      <c r="CK76" s="68"/>
      <c r="CL76" s="32"/>
      <c r="CM76" s="32"/>
      <c r="CN76" s="68"/>
      <c r="CO76" s="32"/>
    </row>
    <row r="77" spans="8:115" s="16" customFormat="1" ht="18" x14ac:dyDescent="0.2">
      <c r="AV77" s="52"/>
      <c r="AY77" s="52"/>
      <c r="CJ77" s="32"/>
      <c r="CK77" s="68"/>
      <c r="CL77" s="32"/>
      <c r="CM77" s="32"/>
      <c r="CN77" s="68"/>
      <c r="CO77" s="32"/>
    </row>
    <row r="78" spans="8:115" s="16" customFormat="1" ht="18" x14ac:dyDescent="0.2">
      <c r="AV78" s="52"/>
      <c r="AY78" s="52"/>
      <c r="CJ78" s="32"/>
      <c r="CK78" s="68"/>
      <c r="CL78" s="32"/>
      <c r="CM78" s="32"/>
      <c r="CN78" s="68"/>
      <c r="CO78" s="32"/>
    </row>
    <row r="79" spans="8:115" s="16" customFormat="1" ht="18" x14ac:dyDescent="0.2">
      <c r="AV79" s="52"/>
      <c r="AY79" s="52"/>
      <c r="CJ79" s="32"/>
      <c r="CK79" s="68"/>
      <c r="CL79" s="32"/>
      <c r="CM79" s="32"/>
      <c r="CN79" s="68"/>
      <c r="CO79" s="32"/>
    </row>
    <row r="80" spans="8:115" s="16" customFormat="1" ht="18" x14ac:dyDescent="0.2">
      <c r="AV80" s="52"/>
      <c r="AY80" s="52"/>
      <c r="CJ80" s="32"/>
      <c r="CK80" s="68"/>
      <c r="CL80" s="32"/>
      <c r="CM80" s="32"/>
      <c r="CN80" s="68"/>
      <c r="CO80" s="32"/>
    </row>
    <row r="81" spans="48:51" s="16" customFormat="1" x14ac:dyDescent="0.2">
      <c r="AV81" s="52"/>
      <c r="AY81" s="52"/>
    </row>
    <row r="82" spans="48:51" s="16" customFormat="1" x14ac:dyDescent="0.2">
      <c r="AV82" s="52"/>
      <c r="AY82" s="52"/>
    </row>
    <row r="83" spans="48:51" s="16" customFormat="1" x14ac:dyDescent="0.2">
      <c r="AV83" s="52"/>
      <c r="AY83" s="52"/>
    </row>
    <row r="84" spans="48:51" s="16" customFormat="1" x14ac:dyDescent="0.2">
      <c r="AV84" s="52"/>
      <c r="AY84" s="52"/>
    </row>
    <row r="85" spans="48:51" s="16" customFormat="1" x14ac:dyDescent="0.2">
      <c r="AV85" s="52"/>
      <c r="AY85" s="52"/>
    </row>
    <row r="86" spans="48:51" s="16" customFormat="1" x14ac:dyDescent="0.2">
      <c r="AV86" s="52"/>
      <c r="AY86" s="52"/>
    </row>
    <row r="87" spans="48:51" s="16" customFormat="1" x14ac:dyDescent="0.2">
      <c r="AV87" s="52"/>
      <c r="AY87" s="52"/>
    </row>
    <row r="88" spans="48:51" s="16" customFormat="1" x14ac:dyDescent="0.2">
      <c r="AV88" s="52"/>
      <c r="AY88" s="52"/>
    </row>
    <row r="89" spans="48:51" s="16" customFormat="1" x14ac:dyDescent="0.2">
      <c r="AV89" s="52"/>
      <c r="AY89" s="52"/>
    </row>
    <row r="90" spans="48:51" s="16" customFormat="1" x14ac:dyDescent="0.2">
      <c r="AV90" s="52"/>
      <c r="AY90" s="52"/>
    </row>
    <row r="91" spans="48:51" s="16" customFormat="1" x14ac:dyDescent="0.2">
      <c r="AV91" s="52"/>
      <c r="AY91" s="52"/>
    </row>
    <row r="92" spans="48:51" s="16" customFormat="1" x14ac:dyDescent="0.2">
      <c r="AV92" s="52"/>
      <c r="AY92" s="52"/>
    </row>
    <row r="93" spans="48:51" s="16" customFormat="1" x14ac:dyDescent="0.2">
      <c r="AV93" s="52"/>
      <c r="AY93" s="52"/>
    </row>
    <row r="94" spans="48:51" s="16" customFormat="1" x14ac:dyDescent="0.2">
      <c r="AV94" s="52"/>
      <c r="AY94" s="52"/>
    </row>
    <row r="95" spans="48:51" s="16" customFormat="1" x14ac:dyDescent="0.2">
      <c r="AV95" s="52"/>
      <c r="AY95" s="52"/>
    </row>
    <row r="96" spans="48:51" s="16" customFormat="1" x14ac:dyDescent="0.2">
      <c r="AV96" s="52"/>
      <c r="AY96" s="52"/>
    </row>
    <row r="97" spans="48:51" s="16" customFormat="1" x14ac:dyDescent="0.2">
      <c r="AV97" s="52"/>
      <c r="AY97" s="52"/>
    </row>
    <row r="98" spans="48:51" s="16" customFormat="1" x14ac:dyDescent="0.2">
      <c r="AV98" s="52"/>
      <c r="AY98" s="52"/>
    </row>
    <row r="99" spans="48:51" s="16" customFormat="1" x14ac:dyDescent="0.2">
      <c r="AV99" s="52"/>
      <c r="AY99" s="52"/>
    </row>
    <row r="100" spans="48:51" s="16" customFormat="1" x14ac:dyDescent="0.2">
      <c r="AV100" s="52"/>
      <c r="AY100" s="52"/>
    </row>
    <row r="101" spans="48:51" s="16" customFormat="1" x14ac:dyDescent="0.2">
      <c r="AV101" s="52"/>
      <c r="AY101" s="52"/>
    </row>
    <row r="102" spans="48:51" s="16" customFormat="1" x14ac:dyDescent="0.2">
      <c r="AV102" s="52"/>
      <c r="AY102" s="52"/>
    </row>
    <row r="103" spans="48:51" s="16" customFormat="1" x14ac:dyDescent="0.2">
      <c r="AV103" s="52"/>
      <c r="AY103" s="52"/>
    </row>
    <row r="104" spans="48:51" s="16" customFormat="1" x14ac:dyDescent="0.2">
      <c r="AV104" s="52"/>
      <c r="AY104" s="52"/>
    </row>
    <row r="105" spans="48:51" s="16" customFormat="1" x14ac:dyDescent="0.2">
      <c r="AV105" s="52"/>
      <c r="AY105" s="52"/>
    </row>
    <row r="106" spans="48:51" s="16" customFormat="1" x14ac:dyDescent="0.2">
      <c r="AV106" s="52"/>
      <c r="AY106" s="52"/>
    </row>
    <row r="107" spans="48:51" s="16" customFormat="1" x14ac:dyDescent="0.2">
      <c r="AV107" s="52"/>
      <c r="AY107" s="52"/>
    </row>
    <row r="108" spans="48:51" s="16" customFormat="1" x14ac:dyDescent="0.2">
      <c r="AV108" s="52"/>
      <c r="AY108" s="52"/>
    </row>
    <row r="109" spans="48:51" s="16" customFormat="1" x14ac:dyDescent="0.2">
      <c r="AV109" s="52"/>
      <c r="AY109" s="52"/>
    </row>
    <row r="110" spans="48:51" s="16" customFormat="1" x14ac:dyDescent="0.2">
      <c r="AV110" s="52"/>
      <c r="AY110" s="52"/>
    </row>
    <row r="111" spans="48:51" s="16" customFormat="1" x14ac:dyDescent="0.2">
      <c r="AV111" s="52"/>
      <c r="AY111" s="52"/>
    </row>
    <row r="112" spans="48:51" s="16" customFormat="1" x14ac:dyDescent="0.2">
      <c r="AV112" s="52"/>
      <c r="AY112" s="52"/>
    </row>
    <row r="113" spans="48:51" s="16" customFormat="1" x14ac:dyDescent="0.2">
      <c r="AV113" s="52"/>
      <c r="AY113" s="52"/>
    </row>
    <row r="114" spans="48:51" s="16" customFormat="1" x14ac:dyDescent="0.2">
      <c r="AV114" s="52"/>
      <c r="AY114" s="52"/>
    </row>
    <row r="115" spans="48:51" s="16" customFormat="1" x14ac:dyDescent="0.2">
      <c r="AV115" s="52"/>
      <c r="AY115" s="52"/>
    </row>
    <row r="116" spans="48:51" s="16" customFormat="1" x14ac:dyDescent="0.2">
      <c r="AV116" s="52"/>
      <c r="AY116" s="52"/>
    </row>
    <row r="117" spans="48:51" s="16" customFormat="1" x14ac:dyDescent="0.2">
      <c r="AV117" s="52"/>
      <c r="AY117" s="52"/>
    </row>
    <row r="118" spans="48:51" s="16" customFormat="1" x14ac:dyDescent="0.2">
      <c r="AV118" s="52"/>
      <c r="AY118" s="52"/>
    </row>
    <row r="119" spans="48:51" s="16" customFormat="1" x14ac:dyDescent="0.2">
      <c r="AV119" s="52"/>
      <c r="AY119" s="52"/>
    </row>
    <row r="120" spans="48:51" s="16" customFormat="1" x14ac:dyDescent="0.2">
      <c r="AV120" s="52"/>
      <c r="AY120" s="52"/>
    </row>
    <row r="121" spans="48:51" s="16" customFormat="1" x14ac:dyDescent="0.2">
      <c r="AV121" s="52"/>
      <c r="AY121" s="52"/>
    </row>
    <row r="122" spans="48:51" s="16" customFormat="1" x14ac:dyDescent="0.2">
      <c r="AV122" s="52"/>
      <c r="AY122" s="52"/>
    </row>
    <row r="123" spans="48:51" s="16" customFormat="1" x14ac:dyDescent="0.2">
      <c r="AV123" s="52"/>
      <c r="AY123" s="52"/>
    </row>
    <row r="124" spans="48:51" s="16" customFormat="1" x14ac:dyDescent="0.2">
      <c r="AV124" s="52"/>
      <c r="AY124" s="52"/>
    </row>
    <row r="125" spans="48:51" s="16" customFormat="1" x14ac:dyDescent="0.2">
      <c r="AV125" s="52"/>
      <c r="AY125" s="52"/>
    </row>
    <row r="126" spans="48:51" s="16" customFormat="1" x14ac:dyDescent="0.2">
      <c r="AV126" s="52"/>
      <c r="AY126" s="52"/>
    </row>
    <row r="127" spans="48:51" s="16" customFormat="1" x14ac:dyDescent="0.2">
      <c r="AV127" s="52"/>
      <c r="AY127" s="52"/>
    </row>
    <row r="128" spans="48:51" s="16" customFormat="1" x14ac:dyDescent="0.2">
      <c r="AV128" s="52"/>
      <c r="AY128" s="52"/>
    </row>
    <row r="129" spans="48:51" s="16" customFormat="1" x14ac:dyDescent="0.2">
      <c r="AV129" s="52"/>
      <c r="AY129" s="52"/>
    </row>
    <row r="130" spans="48:51" s="16" customFormat="1" x14ac:dyDescent="0.2">
      <c r="AV130" s="52"/>
      <c r="AY130" s="52"/>
    </row>
    <row r="131" spans="48:51" s="16" customFormat="1" x14ac:dyDescent="0.2">
      <c r="AV131" s="52"/>
      <c r="AY131" s="52"/>
    </row>
    <row r="132" spans="48:51" s="16" customFormat="1" x14ac:dyDescent="0.2">
      <c r="AV132" s="52"/>
      <c r="AY132" s="52"/>
    </row>
    <row r="133" spans="48:51" s="16" customFormat="1" x14ac:dyDescent="0.2">
      <c r="AV133" s="52"/>
      <c r="AY133" s="52"/>
    </row>
    <row r="134" spans="48:51" s="16" customFormat="1" x14ac:dyDescent="0.2">
      <c r="AV134" s="52"/>
      <c r="AY134" s="52"/>
    </row>
    <row r="135" spans="48:51" s="16" customFormat="1" x14ac:dyDescent="0.2">
      <c r="AV135" s="52"/>
      <c r="AY135" s="52"/>
    </row>
    <row r="136" spans="48:51" s="16" customFormat="1" x14ac:dyDescent="0.2">
      <c r="AV136" s="52"/>
      <c r="AY136" s="52"/>
    </row>
    <row r="137" spans="48:51" s="16" customFormat="1" x14ac:dyDescent="0.2">
      <c r="AV137" s="52"/>
      <c r="AY137" s="52"/>
    </row>
    <row r="138" spans="48:51" s="16" customFormat="1" x14ac:dyDescent="0.2">
      <c r="AV138" s="52"/>
      <c r="AY138" s="52"/>
    </row>
    <row r="139" spans="48:51" s="16" customFormat="1" x14ac:dyDescent="0.2">
      <c r="AV139" s="52"/>
      <c r="AY139" s="52"/>
    </row>
    <row r="140" spans="48:51" s="16" customFormat="1" x14ac:dyDescent="0.2">
      <c r="AV140" s="52"/>
      <c r="AY140" s="52"/>
    </row>
    <row r="141" spans="48:51" s="16" customFormat="1" x14ac:dyDescent="0.2">
      <c r="AV141" s="52"/>
      <c r="AY141" s="52"/>
    </row>
    <row r="142" spans="48:51" s="16" customFormat="1" x14ac:dyDescent="0.2">
      <c r="AV142" s="52"/>
      <c r="AY142" s="52"/>
    </row>
    <row r="143" spans="48:51" s="16" customFormat="1" x14ac:dyDescent="0.2">
      <c r="AV143" s="52"/>
      <c r="AY143" s="52"/>
    </row>
    <row r="144" spans="48:51" s="16" customFormat="1" x14ac:dyDescent="0.2">
      <c r="AV144" s="52"/>
      <c r="AY144" s="52"/>
    </row>
    <row r="145" spans="48:51" s="16" customFormat="1" x14ac:dyDescent="0.2">
      <c r="AV145" s="52"/>
      <c r="AY145" s="52"/>
    </row>
    <row r="146" spans="48:51" s="16" customFormat="1" x14ac:dyDescent="0.2">
      <c r="AV146" s="52"/>
      <c r="AY146" s="52"/>
    </row>
    <row r="147" spans="48:51" s="16" customFormat="1" x14ac:dyDescent="0.2">
      <c r="AV147" s="52"/>
      <c r="AY147" s="52"/>
    </row>
    <row r="148" spans="48:51" s="16" customFormat="1" x14ac:dyDescent="0.2">
      <c r="AV148" s="52"/>
      <c r="AY148" s="52"/>
    </row>
    <row r="149" spans="48:51" s="16" customFormat="1" x14ac:dyDescent="0.2">
      <c r="AV149" s="52"/>
      <c r="AY149" s="52"/>
    </row>
    <row r="150" spans="48:51" s="16" customFormat="1" x14ac:dyDescent="0.2">
      <c r="AV150" s="52"/>
      <c r="AY150" s="52"/>
    </row>
    <row r="151" spans="48:51" s="16" customFormat="1" x14ac:dyDescent="0.2">
      <c r="AV151" s="52"/>
      <c r="AY151" s="52"/>
    </row>
    <row r="152" spans="48:51" s="16" customFormat="1" x14ac:dyDescent="0.2">
      <c r="AV152" s="52"/>
      <c r="AY152" s="52"/>
    </row>
    <row r="153" spans="48:51" s="16" customFormat="1" x14ac:dyDescent="0.2">
      <c r="AV153" s="52"/>
      <c r="AY153" s="52"/>
    </row>
    <row r="154" spans="48:51" s="16" customFormat="1" x14ac:dyDescent="0.2">
      <c r="AV154" s="52"/>
      <c r="AY154" s="52"/>
    </row>
    <row r="155" spans="48:51" s="16" customFormat="1" x14ac:dyDescent="0.2">
      <c r="AV155" s="52"/>
      <c r="AY155" s="52"/>
    </row>
    <row r="156" spans="48:51" s="16" customFormat="1" x14ac:dyDescent="0.2">
      <c r="AV156" s="52"/>
      <c r="AY156" s="52"/>
    </row>
    <row r="157" spans="48:51" s="16" customFormat="1" x14ac:dyDescent="0.2">
      <c r="AV157" s="52"/>
      <c r="AY157" s="52"/>
    </row>
    <row r="158" spans="48:51" s="16" customFormat="1" x14ac:dyDescent="0.2">
      <c r="AV158" s="52"/>
      <c r="AY158" s="52"/>
    </row>
    <row r="159" spans="48:51" s="16" customFormat="1" x14ac:dyDescent="0.2">
      <c r="AV159" s="52"/>
      <c r="AY159" s="52"/>
    </row>
    <row r="160" spans="48:51" s="16" customFormat="1" x14ac:dyDescent="0.2">
      <c r="AV160" s="52"/>
      <c r="AY160" s="52"/>
    </row>
    <row r="161" spans="48:51" s="16" customFormat="1" x14ac:dyDescent="0.2">
      <c r="AV161" s="52"/>
      <c r="AY161" s="52"/>
    </row>
    <row r="162" spans="48:51" s="16" customFormat="1" x14ac:dyDescent="0.2">
      <c r="AV162" s="52"/>
      <c r="AY162" s="52"/>
    </row>
    <row r="163" spans="48:51" s="16" customFormat="1" x14ac:dyDescent="0.2">
      <c r="AV163" s="52"/>
      <c r="AY163" s="52"/>
    </row>
    <row r="164" spans="48:51" s="16" customFormat="1" x14ac:dyDescent="0.2">
      <c r="AV164" s="52"/>
      <c r="AY164" s="52"/>
    </row>
    <row r="165" spans="48:51" s="16" customFormat="1" x14ac:dyDescent="0.2">
      <c r="AV165" s="52"/>
      <c r="AY165" s="52"/>
    </row>
    <row r="166" spans="48:51" s="16" customFormat="1" x14ac:dyDescent="0.2">
      <c r="AV166" s="52"/>
      <c r="AY166" s="52"/>
    </row>
    <row r="167" spans="48:51" s="16" customFormat="1" x14ac:dyDescent="0.2">
      <c r="AV167" s="52"/>
      <c r="AY167" s="52"/>
    </row>
    <row r="168" spans="48:51" s="16" customFormat="1" x14ac:dyDescent="0.2">
      <c r="AV168" s="52"/>
      <c r="AY168" s="52"/>
    </row>
    <row r="169" spans="48:51" s="16" customFormat="1" x14ac:dyDescent="0.2">
      <c r="AV169" s="52"/>
      <c r="AY169" s="52"/>
    </row>
    <row r="170" spans="48:51" s="16" customFormat="1" x14ac:dyDescent="0.2">
      <c r="AV170" s="52"/>
      <c r="AY170" s="52"/>
    </row>
    <row r="171" spans="48:51" s="16" customFormat="1" x14ac:dyDescent="0.2">
      <c r="AV171" s="52"/>
      <c r="AY171" s="52"/>
    </row>
    <row r="172" spans="48:51" s="16" customFormat="1" x14ac:dyDescent="0.2">
      <c r="AV172" s="52"/>
      <c r="AY172" s="52"/>
    </row>
    <row r="173" spans="48:51" s="16" customFormat="1" x14ac:dyDescent="0.2">
      <c r="AV173" s="52"/>
      <c r="AY173" s="52"/>
    </row>
    <row r="174" spans="48:51" s="16" customFormat="1" x14ac:dyDescent="0.2">
      <c r="AV174" s="52"/>
      <c r="AY174" s="52"/>
    </row>
    <row r="175" spans="48:51" s="16" customFormat="1" x14ac:dyDescent="0.2">
      <c r="AV175" s="52"/>
      <c r="AY175" s="52"/>
    </row>
    <row r="176" spans="48:51" s="16" customFormat="1" x14ac:dyDescent="0.2">
      <c r="AV176" s="52"/>
      <c r="AY176" s="52"/>
    </row>
    <row r="177" spans="48:51" s="16" customFormat="1" x14ac:dyDescent="0.2">
      <c r="AV177" s="52"/>
      <c r="AY177" s="52"/>
    </row>
    <row r="178" spans="48:51" s="16" customFormat="1" x14ac:dyDescent="0.2">
      <c r="AV178" s="52"/>
      <c r="AY178" s="52"/>
    </row>
    <row r="179" spans="48:51" s="16" customFormat="1" x14ac:dyDescent="0.2">
      <c r="AV179" s="52"/>
      <c r="AY179" s="52"/>
    </row>
    <row r="180" spans="48:51" s="16" customFormat="1" x14ac:dyDescent="0.2">
      <c r="AV180" s="52"/>
      <c r="AY180" s="52"/>
    </row>
    <row r="181" spans="48:51" s="16" customFormat="1" x14ac:dyDescent="0.2">
      <c r="AV181" s="52"/>
      <c r="AY181" s="52"/>
    </row>
    <row r="182" spans="48:51" s="16" customFormat="1" x14ac:dyDescent="0.2">
      <c r="AV182" s="52"/>
      <c r="AY182" s="52"/>
    </row>
    <row r="183" spans="48:51" s="16" customFormat="1" x14ac:dyDescent="0.2">
      <c r="AV183" s="52"/>
      <c r="AY183" s="52"/>
    </row>
    <row r="184" spans="48:51" s="16" customFormat="1" x14ac:dyDescent="0.2">
      <c r="AV184" s="52"/>
      <c r="AY184" s="52"/>
    </row>
    <row r="185" spans="48:51" s="16" customFormat="1" x14ac:dyDescent="0.2">
      <c r="AV185" s="52"/>
      <c r="AY185" s="52"/>
    </row>
    <row r="186" spans="48:51" s="16" customFormat="1" x14ac:dyDescent="0.2">
      <c r="AV186" s="52"/>
      <c r="AY186" s="52"/>
    </row>
    <row r="187" spans="48:51" s="16" customFormat="1" x14ac:dyDescent="0.2">
      <c r="AV187" s="52"/>
      <c r="AY187" s="52"/>
    </row>
    <row r="188" spans="48:51" s="16" customFormat="1" x14ac:dyDescent="0.2">
      <c r="AV188" s="52"/>
      <c r="AY188" s="52"/>
    </row>
    <row r="189" spans="48:51" s="16" customFormat="1" x14ac:dyDescent="0.2">
      <c r="AV189" s="52"/>
      <c r="AY189" s="52"/>
    </row>
    <row r="190" spans="48:51" s="16" customFormat="1" x14ac:dyDescent="0.2">
      <c r="AV190" s="52"/>
      <c r="AY190" s="52"/>
    </row>
    <row r="191" spans="48:51" s="16" customFormat="1" x14ac:dyDescent="0.2">
      <c r="AV191" s="52"/>
      <c r="AY191" s="52"/>
    </row>
    <row r="192" spans="48:51" s="16" customFormat="1" x14ac:dyDescent="0.2">
      <c r="AV192" s="52"/>
      <c r="AY192" s="52"/>
    </row>
    <row r="193" spans="48:51" s="16" customFormat="1" x14ac:dyDescent="0.2">
      <c r="AV193" s="52"/>
      <c r="AY193" s="52"/>
    </row>
    <row r="194" spans="48:51" s="16" customFormat="1" x14ac:dyDescent="0.2">
      <c r="AV194" s="52"/>
      <c r="AY194" s="52"/>
    </row>
    <row r="195" spans="48:51" s="16" customFormat="1" x14ac:dyDescent="0.2">
      <c r="AV195" s="52"/>
      <c r="AY195" s="52"/>
    </row>
    <row r="196" spans="48:51" s="16" customFormat="1" x14ac:dyDescent="0.2">
      <c r="AV196" s="52"/>
      <c r="AY196" s="52"/>
    </row>
    <row r="197" spans="48:51" s="16" customFormat="1" x14ac:dyDescent="0.2">
      <c r="AV197" s="52"/>
      <c r="AY197" s="52"/>
    </row>
    <row r="198" spans="48:51" s="16" customFormat="1" x14ac:dyDescent="0.2">
      <c r="AV198" s="52"/>
      <c r="AY198" s="52"/>
    </row>
    <row r="199" spans="48:51" s="16" customFormat="1" x14ac:dyDescent="0.2">
      <c r="AV199" s="52"/>
      <c r="AY199" s="52"/>
    </row>
    <row r="200" spans="48:51" s="16" customFormat="1" x14ac:dyDescent="0.2">
      <c r="AV200" s="52"/>
      <c r="AY200" s="52"/>
    </row>
    <row r="201" spans="48:51" s="16" customFormat="1" x14ac:dyDescent="0.2">
      <c r="AV201" s="52"/>
      <c r="AY201" s="52"/>
    </row>
    <row r="202" spans="48:51" s="16" customFormat="1" x14ac:dyDescent="0.2">
      <c r="AV202" s="52"/>
      <c r="AY202" s="52"/>
    </row>
    <row r="203" spans="48:51" s="16" customFormat="1" x14ac:dyDescent="0.2">
      <c r="AV203" s="52"/>
      <c r="AY203" s="52"/>
    </row>
    <row r="204" spans="48:51" s="16" customFormat="1" x14ac:dyDescent="0.2">
      <c r="AV204" s="52"/>
      <c r="AY204" s="52"/>
    </row>
    <row r="205" spans="48:51" s="16" customFormat="1" x14ac:dyDescent="0.2">
      <c r="AV205" s="52"/>
      <c r="AY205" s="52"/>
    </row>
    <row r="206" spans="48:51" s="16" customFormat="1" x14ac:dyDescent="0.2">
      <c r="AV206" s="52"/>
      <c r="AY206" s="52"/>
    </row>
    <row r="207" spans="48:51" s="16" customFormat="1" x14ac:dyDescent="0.2">
      <c r="AV207" s="52"/>
      <c r="AY207" s="52"/>
    </row>
    <row r="208" spans="48:51" s="16" customFormat="1" x14ac:dyDescent="0.2">
      <c r="AV208" s="52"/>
      <c r="AY208" s="52"/>
    </row>
    <row r="209" spans="48:51" s="16" customFormat="1" x14ac:dyDescent="0.2">
      <c r="AV209" s="52"/>
      <c r="AY209" s="52"/>
    </row>
    <row r="210" spans="48:51" s="16" customFormat="1" x14ac:dyDescent="0.2">
      <c r="AV210" s="52"/>
      <c r="AY210" s="52"/>
    </row>
    <row r="211" spans="48:51" s="16" customFormat="1" x14ac:dyDescent="0.2">
      <c r="AV211" s="52"/>
      <c r="AY211" s="52"/>
    </row>
    <row r="212" spans="48:51" s="16" customFormat="1" x14ac:dyDescent="0.2">
      <c r="AV212" s="52"/>
      <c r="AY212" s="52"/>
    </row>
    <row r="213" spans="48:51" s="16" customFormat="1" x14ac:dyDescent="0.2">
      <c r="AV213" s="52"/>
      <c r="AY213" s="52"/>
    </row>
    <row r="214" spans="48:51" s="16" customFormat="1" x14ac:dyDescent="0.2">
      <c r="AV214" s="52"/>
      <c r="AY214" s="52"/>
    </row>
    <row r="215" spans="48:51" s="16" customFormat="1" x14ac:dyDescent="0.2">
      <c r="AV215" s="52"/>
      <c r="AY215" s="52"/>
    </row>
    <row r="216" spans="48:51" s="16" customFormat="1" x14ac:dyDescent="0.2">
      <c r="AV216" s="52"/>
      <c r="AY216" s="52"/>
    </row>
    <row r="217" spans="48:51" s="16" customFormat="1" x14ac:dyDescent="0.2">
      <c r="AV217" s="52"/>
      <c r="AY217" s="52"/>
    </row>
    <row r="218" spans="48:51" s="16" customFormat="1" x14ac:dyDescent="0.2">
      <c r="AV218" s="52"/>
      <c r="AY218" s="52"/>
    </row>
    <row r="219" spans="48:51" s="16" customFormat="1" x14ac:dyDescent="0.2">
      <c r="AV219" s="52"/>
      <c r="AY219" s="52"/>
    </row>
    <row r="220" spans="48:51" s="16" customFormat="1" x14ac:dyDescent="0.2">
      <c r="AV220" s="52"/>
      <c r="AY220" s="52"/>
    </row>
    <row r="221" spans="48:51" s="16" customFormat="1" x14ac:dyDescent="0.2">
      <c r="AV221" s="52"/>
      <c r="AY221" s="52"/>
    </row>
    <row r="222" spans="48:51" s="16" customFormat="1" x14ac:dyDescent="0.2">
      <c r="AV222" s="52"/>
      <c r="AY222" s="52"/>
    </row>
    <row r="223" spans="48:51" s="16" customFormat="1" x14ac:dyDescent="0.2">
      <c r="AV223" s="52"/>
      <c r="AY223" s="52"/>
    </row>
    <row r="224" spans="48:51" s="16" customFormat="1" x14ac:dyDescent="0.2">
      <c r="AV224" s="52"/>
      <c r="AY224" s="52"/>
    </row>
    <row r="225" spans="48:51" s="16" customFormat="1" x14ac:dyDescent="0.2">
      <c r="AV225" s="52"/>
      <c r="AY225" s="52"/>
    </row>
    <row r="226" spans="48:51" s="16" customFormat="1" x14ac:dyDescent="0.2">
      <c r="AV226" s="52"/>
      <c r="AY226" s="52"/>
    </row>
    <row r="227" spans="48:51" s="16" customFormat="1" x14ac:dyDescent="0.2">
      <c r="AV227" s="52"/>
      <c r="AY227" s="52"/>
    </row>
    <row r="228" spans="48:51" s="16" customFormat="1" x14ac:dyDescent="0.2">
      <c r="AV228" s="52"/>
      <c r="AY228" s="52"/>
    </row>
    <row r="229" spans="48:51" s="16" customFormat="1" x14ac:dyDescent="0.2">
      <c r="AV229" s="52"/>
      <c r="AY229" s="52"/>
    </row>
    <row r="230" spans="48:51" s="16" customFormat="1" x14ac:dyDescent="0.2">
      <c r="AV230" s="52"/>
      <c r="AY230" s="52"/>
    </row>
    <row r="231" spans="48:51" s="16" customFormat="1" x14ac:dyDescent="0.2">
      <c r="AV231" s="52"/>
      <c r="AY231" s="52"/>
    </row>
    <row r="232" spans="48:51" s="16" customFormat="1" x14ac:dyDescent="0.2">
      <c r="AV232" s="52"/>
      <c r="AY232" s="52"/>
    </row>
    <row r="233" spans="48:51" s="16" customFormat="1" x14ac:dyDescent="0.2">
      <c r="AV233" s="52"/>
      <c r="AY233" s="52"/>
    </row>
    <row r="234" spans="48:51" s="16" customFormat="1" x14ac:dyDescent="0.2">
      <c r="AV234" s="52"/>
      <c r="AY234" s="52"/>
    </row>
    <row r="235" spans="48:51" s="16" customFormat="1" x14ac:dyDescent="0.2">
      <c r="AV235" s="52"/>
      <c r="AY235" s="52"/>
    </row>
    <row r="236" spans="48:51" s="16" customFormat="1" x14ac:dyDescent="0.2">
      <c r="AV236" s="52"/>
      <c r="AY236" s="52"/>
    </row>
    <row r="237" spans="48:51" s="16" customFormat="1" x14ac:dyDescent="0.2">
      <c r="AV237" s="52"/>
      <c r="AY237" s="52"/>
    </row>
    <row r="238" spans="48:51" s="16" customFormat="1" x14ac:dyDescent="0.2">
      <c r="AV238" s="52"/>
      <c r="AY238" s="52"/>
    </row>
    <row r="239" spans="48:51" s="16" customFormat="1" x14ac:dyDescent="0.2">
      <c r="AV239" s="52"/>
      <c r="AY239" s="52"/>
    </row>
    <row r="240" spans="48:51" s="16" customFormat="1" x14ac:dyDescent="0.2">
      <c r="AV240" s="52"/>
      <c r="AY240" s="52"/>
    </row>
    <row r="241" spans="48:51" s="16" customFormat="1" x14ac:dyDescent="0.2">
      <c r="AV241" s="52"/>
      <c r="AY241" s="52"/>
    </row>
    <row r="242" spans="48:51" s="16" customFormat="1" x14ac:dyDescent="0.2">
      <c r="AV242" s="52"/>
      <c r="AY242" s="52"/>
    </row>
    <row r="243" spans="48:51" s="16" customFormat="1" x14ac:dyDescent="0.2">
      <c r="AV243" s="52"/>
      <c r="AY243" s="52"/>
    </row>
    <row r="244" spans="48:51" s="16" customFormat="1" x14ac:dyDescent="0.2">
      <c r="AV244" s="52"/>
      <c r="AY244" s="52"/>
    </row>
    <row r="245" spans="48:51" s="16" customFormat="1" x14ac:dyDescent="0.2">
      <c r="AV245" s="52"/>
      <c r="AY245" s="52"/>
    </row>
    <row r="246" spans="48:51" s="16" customFormat="1" x14ac:dyDescent="0.2">
      <c r="AV246" s="52"/>
      <c r="AY246" s="52"/>
    </row>
    <row r="247" spans="48:51" s="16" customFormat="1" x14ac:dyDescent="0.2">
      <c r="AV247" s="52"/>
      <c r="AY247" s="52"/>
    </row>
    <row r="248" spans="48:51" s="16" customFormat="1" x14ac:dyDescent="0.2">
      <c r="AV248" s="52"/>
      <c r="AY248" s="52"/>
    </row>
    <row r="249" spans="48:51" s="16" customFormat="1" x14ac:dyDescent="0.2">
      <c r="AV249" s="52"/>
      <c r="AY249" s="52"/>
    </row>
    <row r="250" spans="48:51" s="16" customFormat="1" x14ac:dyDescent="0.2">
      <c r="AV250" s="52"/>
      <c r="AY250" s="52"/>
    </row>
    <row r="251" spans="48:51" s="16" customFormat="1" x14ac:dyDescent="0.2">
      <c r="AV251" s="52"/>
      <c r="AY251" s="52"/>
    </row>
    <row r="252" spans="48:51" s="16" customFormat="1" x14ac:dyDescent="0.2">
      <c r="AV252" s="52"/>
      <c r="AY252" s="52"/>
    </row>
    <row r="253" spans="48:51" s="16" customFormat="1" x14ac:dyDescent="0.2">
      <c r="AV253" s="52"/>
      <c r="AY253" s="52"/>
    </row>
    <row r="254" spans="48:51" s="16" customFormat="1" x14ac:dyDescent="0.2">
      <c r="AV254" s="52"/>
      <c r="AY254" s="52"/>
    </row>
    <row r="255" spans="48:51" s="16" customFormat="1" x14ac:dyDescent="0.2">
      <c r="AV255" s="52"/>
      <c r="AY255" s="52"/>
    </row>
    <row r="256" spans="48:51" s="16" customFormat="1" x14ac:dyDescent="0.2">
      <c r="AV256" s="52"/>
      <c r="AY256" s="52"/>
    </row>
    <row r="257" spans="48:51" s="16" customFormat="1" x14ac:dyDescent="0.2">
      <c r="AV257" s="52"/>
      <c r="AY257" s="52"/>
    </row>
    <row r="258" spans="48:51" s="16" customFormat="1" x14ac:dyDescent="0.2">
      <c r="AV258" s="52"/>
      <c r="AY258" s="52"/>
    </row>
    <row r="259" spans="48:51" s="16" customFormat="1" x14ac:dyDescent="0.2">
      <c r="AV259" s="52"/>
      <c r="AY259" s="52"/>
    </row>
    <row r="260" spans="48:51" s="16" customFormat="1" x14ac:dyDescent="0.2">
      <c r="AV260" s="52"/>
      <c r="AY260" s="52"/>
    </row>
    <row r="261" spans="48:51" s="16" customFormat="1" x14ac:dyDescent="0.2">
      <c r="AV261" s="52"/>
      <c r="AY261" s="52"/>
    </row>
    <row r="262" spans="48:51" s="16" customFormat="1" x14ac:dyDescent="0.2">
      <c r="AV262" s="52"/>
      <c r="AY262" s="52"/>
    </row>
    <row r="263" spans="48:51" s="16" customFormat="1" x14ac:dyDescent="0.2">
      <c r="AV263" s="52"/>
      <c r="AY263" s="52"/>
    </row>
    <row r="264" spans="48:51" s="16" customFormat="1" x14ac:dyDescent="0.2">
      <c r="AV264" s="52"/>
      <c r="AY264" s="52"/>
    </row>
    <row r="265" spans="48:51" s="16" customFormat="1" x14ac:dyDescent="0.2">
      <c r="AV265" s="52"/>
      <c r="AY265" s="52"/>
    </row>
    <row r="266" spans="48:51" s="16" customFormat="1" x14ac:dyDescent="0.2">
      <c r="AV266" s="52"/>
      <c r="AY266" s="52"/>
    </row>
    <row r="267" spans="48:51" s="16" customFormat="1" x14ac:dyDescent="0.2">
      <c r="AV267" s="52"/>
      <c r="AY267" s="52"/>
    </row>
    <row r="268" spans="48:51" s="16" customFormat="1" x14ac:dyDescent="0.2">
      <c r="AV268" s="52"/>
      <c r="AY268" s="52"/>
    </row>
    <row r="269" spans="48:51" s="16" customFormat="1" x14ac:dyDescent="0.2">
      <c r="AV269" s="52"/>
      <c r="AY269" s="52"/>
    </row>
    <row r="270" spans="48:51" s="16" customFormat="1" x14ac:dyDescent="0.2">
      <c r="AV270" s="52"/>
      <c r="AY270" s="52"/>
    </row>
    <row r="271" spans="48:51" s="16" customFormat="1" x14ac:dyDescent="0.2">
      <c r="AV271" s="52"/>
      <c r="AY271" s="52"/>
    </row>
    <row r="272" spans="48:51" s="16" customFormat="1" x14ac:dyDescent="0.2">
      <c r="AV272" s="52"/>
      <c r="AY272" s="52"/>
    </row>
    <row r="273" spans="48:51" s="16" customFormat="1" x14ac:dyDescent="0.2">
      <c r="AV273" s="52"/>
      <c r="AY273" s="52"/>
    </row>
    <row r="274" spans="48:51" s="16" customFormat="1" x14ac:dyDescent="0.2">
      <c r="AV274" s="52"/>
      <c r="AY274" s="52"/>
    </row>
    <row r="275" spans="48:51" s="16" customFormat="1" x14ac:dyDescent="0.2">
      <c r="AV275" s="52"/>
      <c r="AY275" s="52"/>
    </row>
    <row r="276" spans="48:51" s="16" customFormat="1" x14ac:dyDescent="0.2">
      <c r="AV276" s="52"/>
      <c r="AY276" s="52"/>
    </row>
    <row r="277" spans="48:51" s="16" customFormat="1" x14ac:dyDescent="0.2">
      <c r="AV277" s="52"/>
      <c r="AY277" s="52"/>
    </row>
    <row r="278" spans="48:51" s="16" customFormat="1" x14ac:dyDescent="0.2">
      <c r="AV278" s="52"/>
      <c r="AY278" s="52"/>
    </row>
    <row r="279" spans="48:51" s="16" customFormat="1" x14ac:dyDescent="0.2">
      <c r="AV279" s="52"/>
      <c r="AY279" s="52"/>
    </row>
    <row r="280" spans="48:51" s="16" customFormat="1" x14ac:dyDescent="0.2">
      <c r="AV280" s="52"/>
      <c r="AY280" s="52"/>
    </row>
    <row r="281" spans="48:51" s="16" customFormat="1" x14ac:dyDescent="0.2">
      <c r="AV281" s="52"/>
      <c r="AY281" s="52"/>
    </row>
    <row r="282" spans="48:51" s="16" customFormat="1" x14ac:dyDescent="0.2">
      <c r="AV282" s="52"/>
      <c r="AY282" s="52"/>
    </row>
    <row r="283" spans="48:51" s="16" customFormat="1" x14ac:dyDescent="0.2">
      <c r="AV283" s="52"/>
      <c r="AY283" s="52"/>
    </row>
    <row r="284" spans="48:51" s="16" customFormat="1" x14ac:dyDescent="0.2">
      <c r="AV284" s="52"/>
      <c r="AY284" s="52"/>
    </row>
    <row r="285" spans="48:51" s="16" customFormat="1" x14ac:dyDescent="0.2">
      <c r="AV285" s="52"/>
      <c r="AY285" s="52"/>
    </row>
    <row r="286" spans="48:51" s="16" customFormat="1" x14ac:dyDescent="0.2">
      <c r="AV286" s="52"/>
      <c r="AY286" s="52"/>
    </row>
    <row r="287" spans="48:51" s="16" customFormat="1" x14ac:dyDescent="0.2">
      <c r="AV287" s="52"/>
      <c r="AY287" s="52"/>
    </row>
    <row r="288" spans="48:51" s="16" customFormat="1" x14ac:dyDescent="0.2">
      <c r="AV288" s="52"/>
      <c r="AY288" s="52"/>
    </row>
    <row r="289" spans="48:51" s="16" customFormat="1" x14ac:dyDescent="0.2">
      <c r="AV289" s="52"/>
      <c r="AY289" s="52"/>
    </row>
    <row r="290" spans="48:51" s="16" customFormat="1" x14ac:dyDescent="0.2">
      <c r="AV290" s="52"/>
      <c r="AY290" s="52"/>
    </row>
    <row r="291" spans="48:51" s="16" customFormat="1" x14ac:dyDescent="0.2">
      <c r="AV291" s="52"/>
      <c r="AY291" s="52"/>
    </row>
    <row r="292" spans="48:51" s="16" customFormat="1" x14ac:dyDescent="0.2">
      <c r="AV292" s="52"/>
      <c r="AY292" s="52"/>
    </row>
    <row r="293" spans="48:51" s="16" customFormat="1" x14ac:dyDescent="0.2">
      <c r="AV293" s="52"/>
      <c r="AY293" s="52"/>
    </row>
    <row r="294" spans="48:51" s="16" customFormat="1" x14ac:dyDescent="0.2">
      <c r="AV294" s="52"/>
      <c r="AY294" s="52"/>
    </row>
    <row r="295" spans="48:51" s="16" customFormat="1" x14ac:dyDescent="0.2">
      <c r="AV295" s="52"/>
      <c r="AY295" s="52"/>
    </row>
    <row r="296" spans="48:51" s="16" customFormat="1" x14ac:dyDescent="0.2">
      <c r="AV296" s="52"/>
      <c r="AY296" s="52"/>
    </row>
    <row r="297" spans="48:51" s="16" customFormat="1" x14ac:dyDescent="0.2">
      <c r="AV297" s="52"/>
      <c r="AY297" s="52"/>
    </row>
    <row r="298" spans="48:51" s="16" customFormat="1" x14ac:dyDescent="0.2">
      <c r="AV298" s="52"/>
      <c r="AY298" s="52"/>
    </row>
    <row r="299" spans="48:51" s="16" customFormat="1" x14ac:dyDescent="0.2">
      <c r="AV299" s="52"/>
      <c r="AY299" s="52"/>
    </row>
    <row r="300" spans="48:51" s="16" customFormat="1" x14ac:dyDescent="0.2">
      <c r="AV300" s="52"/>
      <c r="AY300" s="52"/>
    </row>
    <row r="301" spans="48:51" s="16" customFormat="1" x14ac:dyDescent="0.2">
      <c r="AV301" s="52"/>
      <c r="AY301" s="52"/>
    </row>
    <row r="302" spans="48:51" s="16" customFormat="1" x14ac:dyDescent="0.2">
      <c r="AV302" s="52"/>
      <c r="AY302" s="52"/>
    </row>
    <row r="303" spans="48:51" s="16" customFormat="1" x14ac:dyDescent="0.2">
      <c r="AV303" s="52"/>
      <c r="AY303" s="52"/>
    </row>
    <row r="304" spans="48:51" s="16" customFormat="1" x14ac:dyDescent="0.2">
      <c r="AV304" s="52"/>
      <c r="AY304" s="52"/>
    </row>
    <row r="305" spans="48:51" s="16" customFormat="1" x14ac:dyDescent="0.2">
      <c r="AV305" s="52"/>
      <c r="AY305" s="52"/>
    </row>
    <row r="306" spans="48:51" s="16" customFormat="1" x14ac:dyDescent="0.2">
      <c r="AV306" s="52"/>
      <c r="AY306" s="52"/>
    </row>
    <row r="307" spans="48:51" s="16" customFormat="1" x14ac:dyDescent="0.2">
      <c r="AV307" s="52"/>
      <c r="AY307" s="52"/>
    </row>
    <row r="308" spans="48:51" s="16" customFormat="1" x14ac:dyDescent="0.2">
      <c r="AV308" s="52"/>
      <c r="AY308" s="52"/>
    </row>
    <row r="309" spans="48:51" s="16" customFormat="1" x14ac:dyDescent="0.2">
      <c r="AV309" s="52"/>
      <c r="AY309" s="52"/>
    </row>
    <row r="310" spans="48:51" s="16" customFormat="1" x14ac:dyDescent="0.2">
      <c r="AV310" s="52"/>
      <c r="AY310" s="52"/>
    </row>
    <row r="311" spans="48:51" s="16" customFormat="1" x14ac:dyDescent="0.2">
      <c r="AV311" s="52"/>
      <c r="AY311" s="52"/>
    </row>
    <row r="312" spans="48:51" s="16" customFormat="1" x14ac:dyDescent="0.2">
      <c r="AV312" s="52"/>
      <c r="AY312" s="52"/>
    </row>
    <row r="313" spans="48:51" s="16" customFormat="1" x14ac:dyDescent="0.2">
      <c r="AV313" s="52"/>
      <c r="AY313" s="52"/>
    </row>
    <row r="314" spans="48:51" s="16" customFormat="1" x14ac:dyDescent="0.2">
      <c r="AV314" s="52"/>
      <c r="AY314" s="52"/>
    </row>
    <row r="315" spans="48:51" s="16" customFormat="1" x14ac:dyDescent="0.2">
      <c r="AV315" s="52"/>
      <c r="AY315" s="52"/>
    </row>
    <row r="316" spans="48:51" s="16" customFormat="1" x14ac:dyDescent="0.2">
      <c r="AV316" s="52"/>
      <c r="AY316" s="52"/>
    </row>
    <row r="317" spans="48:51" s="16" customFormat="1" x14ac:dyDescent="0.2">
      <c r="AV317" s="52"/>
      <c r="AY317" s="52"/>
    </row>
    <row r="318" spans="48:51" s="16" customFormat="1" x14ac:dyDescent="0.2">
      <c r="AV318" s="52"/>
      <c r="AY318" s="52"/>
    </row>
    <row r="319" spans="48:51" s="16" customFormat="1" x14ac:dyDescent="0.2">
      <c r="AV319" s="52"/>
      <c r="AY319" s="52"/>
    </row>
    <row r="320" spans="48:51" s="16" customFormat="1" x14ac:dyDescent="0.2">
      <c r="AV320" s="52"/>
      <c r="AY320" s="52"/>
    </row>
    <row r="321" spans="48:51" s="16" customFormat="1" x14ac:dyDescent="0.2">
      <c r="AV321" s="52"/>
      <c r="AY321" s="52"/>
    </row>
    <row r="322" spans="48:51" s="16" customFormat="1" x14ac:dyDescent="0.2">
      <c r="AV322" s="52"/>
      <c r="AY322" s="52"/>
    </row>
    <row r="323" spans="48:51" s="16" customFormat="1" x14ac:dyDescent="0.2">
      <c r="AV323" s="52"/>
      <c r="AY323" s="52"/>
    </row>
    <row r="324" spans="48:51" s="16" customFormat="1" x14ac:dyDescent="0.2">
      <c r="AV324" s="52"/>
      <c r="AY324" s="52"/>
    </row>
    <row r="325" spans="48:51" s="16" customFormat="1" x14ac:dyDescent="0.2">
      <c r="AV325" s="52"/>
      <c r="AY325" s="52"/>
    </row>
    <row r="326" spans="48:51" s="16" customFormat="1" x14ac:dyDescent="0.2">
      <c r="AV326" s="52"/>
      <c r="AY326" s="52"/>
    </row>
    <row r="327" spans="48:51" s="16" customFormat="1" x14ac:dyDescent="0.2">
      <c r="AV327" s="52"/>
      <c r="AY327" s="52"/>
    </row>
    <row r="328" spans="48:51" s="16" customFormat="1" x14ac:dyDescent="0.2">
      <c r="AV328" s="52"/>
      <c r="AY328" s="52"/>
    </row>
    <row r="329" spans="48:51" s="16" customFormat="1" x14ac:dyDescent="0.2">
      <c r="AV329" s="52"/>
      <c r="AY329" s="52"/>
    </row>
    <row r="330" spans="48:51" s="16" customFormat="1" x14ac:dyDescent="0.2">
      <c r="AV330" s="52"/>
      <c r="AY330" s="52"/>
    </row>
    <row r="331" spans="48:51" s="16" customFormat="1" x14ac:dyDescent="0.2">
      <c r="AV331" s="52"/>
      <c r="AY331" s="52"/>
    </row>
    <row r="332" spans="48:51" s="16" customFormat="1" x14ac:dyDescent="0.2">
      <c r="AV332" s="52"/>
      <c r="AY332" s="52"/>
    </row>
    <row r="333" spans="48:51" s="16" customFormat="1" x14ac:dyDescent="0.2">
      <c r="AV333" s="52"/>
      <c r="AY333" s="52"/>
    </row>
    <row r="334" spans="48:51" s="16" customFormat="1" x14ac:dyDescent="0.2">
      <c r="AV334" s="52"/>
      <c r="AY334" s="52"/>
    </row>
    <row r="335" spans="48:51" s="16" customFormat="1" x14ac:dyDescent="0.2">
      <c r="AV335" s="52"/>
      <c r="AY335" s="52"/>
    </row>
    <row r="336" spans="48:51" s="16" customFormat="1" x14ac:dyDescent="0.2">
      <c r="AV336" s="52"/>
      <c r="AY336" s="52"/>
    </row>
    <row r="337" spans="48:51" s="16" customFormat="1" x14ac:dyDescent="0.2">
      <c r="AV337" s="52"/>
      <c r="AY337" s="52"/>
    </row>
    <row r="338" spans="48:51" s="16" customFormat="1" x14ac:dyDescent="0.2">
      <c r="AV338" s="52"/>
      <c r="AY338" s="52"/>
    </row>
    <row r="339" spans="48:51" s="16" customFormat="1" x14ac:dyDescent="0.2">
      <c r="AV339" s="52"/>
      <c r="AY339" s="52"/>
    </row>
    <row r="340" spans="48:51" s="16" customFormat="1" x14ac:dyDescent="0.2">
      <c r="AV340" s="52"/>
      <c r="AY340" s="52"/>
    </row>
    <row r="341" spans="48:51" s="16" customFormat="1" x14ac:dyDescent="0.2">
      <c r="AV341" s="52"/>
      <c r="AY341" s="52"/>
    </row>
    <row r="342" spans="48:51" s="16" customFormat="1" x14ac:dyDescent="0.2">
      <c r="AV342" s="52"/>
      <c r="AY342" s="52"/>
    </row>
    <row r="343" spans="48:51" s="16" customFormat="1" x14ac:dyDescent="0.2">
      <c r="AV343" s="52"/>
      <c r="AY343" s="52"/>
    </row>
    <row r="344" spans="48:51" s="16" customFormat="1" x14ac:dyDescent="0.2">
      <c r="AV344" s="52"/>
      <c r="AY344" s="52"/>
    </row>
    <row r="345" spans="48:51" s="16" customFormat="1" x14ac:dyDescent="0.2">
      <c r="AV345" s="52"/>
      <c r="AY345" s="52"/>
    </row>
    <row r="346" spans="48:51" s="16" customFormat="1" x14ac:dyDescent="0.2">
      <c r="AV346" s="52"/>
      <c r="AY346" s="52"/>
    </row>
    <row r="347" spans="48:51" s="16" customFormat="1" x14ac:dyDescent="0.2">
      <c r="AV347" s="52"/>
      <c r="AY347" s="52"/>
    </row>
    <row r="348" spans="48:51" s="16" customFormat="1" x14ac:dyDescent="0.2">
      <c r="AV348" s="52"/>
      <c r="AY348" s="52"/>
    </row>
    <row r="349" spans="48:51" s="16" customFormat="1" x14ac:dyDescent="0.2">
      <c r="AV349" s="52"/>
      <c r="AY349" s="52"/>
    </row>
    <row r="350" spans="48:51" s="16" customFormat="1" x14ac:dyDescent="0.2">
      <c r="AV350" s="52"/>
      <c r="AY350" s="52"/>
    </row>
    <row r="351" spans="48:51" s="16" customFormat="1" x14ac:dyDescent="0.2">
      <c r="AV351" s="52"/>
      <c r="AY351" s="52"/>
    </row>
    <row r="352" spans="48:51" s="16" customFormat="1" x14ac:dyDescent="0.2">
      <c r="AV352" s="52"/>
      <c r="AY352" s="52"/>
    </row>
    <row r="353" spans="48:51" s="16" customFormat="1" x14ac:dyDescent="0.2">
      <c r="AV353" s="52"/>
      <c r="AY353" s="52"/>
    </row>
    <row r="354" spans="48:51" s="16" customFormat="1" x14ac:dyDescent="0.2">
      <c r="AV354" s="52"/>
      <c r="AY354" s="52"/>
    </row>
    <row r="355" spans="48:51" s="16" customFormat="1" x14ac:dyDescent="0.2">
      <c r="AV355" s="52"/>
      <c r="AY355" s="52"/>
    </row>
    <row r="356" spans="48:51" s="16" customFormat="1" x14ac:dyDescent="0.2">
      <c r="AV356" s="52"/>
      <c r="AY356" s="52"/>
    </row>
    <row r="357" spans="48:51" s="16" customFormat="1" x14ac:dyDescent="0.2">
      <c r="AV357" s="52"/>
      <c r="AY357" s="52"/>
    </row>
    <row r="358" spans="48:51" s="16" customFormat="1" x14ac:dyDescent="0.2">
      <c r="AV358" s="52"/>
      <c r="AY358" s="52"/>
    </row>
    <row r="359" spans="48:51" s="16" customFormat="1" x14ac:dyDescent="0.2">
      <c r="AV359" s="52"/>
      <c r="AY359" s="52"/>
    </row>
    <row r="360" spans="48:51" s="16" customFormat="1" x14ac:dyDescent="0.2">
      <c r="AV360" s="52"/>
      <c r="AY360" s="52"/>
    </row>
    <row r="361" spans="48:51" s="16" customFormat="1" x14ac:dyDescent="0.2">
      <c r="AV361" s="52"/>
      <c r="AY361" s="52"/>
    </row>
    <row r="362" spans="48:51" s="16" customFormat="1" x14ac:dyDescent="0.2">
      <c r="AV362" s="52"/>
      <c r="AY362" s="52"/>
    </row>
    <row r="363" spans="48:51" s="16" customFormat="1" x14ac:dyDescent="0.2">
      <c r="AV363" s="52"/>
      <c r="AY363" s="52"/>
    </row>
    <row r="364" spans="48:51" s="16" customFormat="1" x14ac:dyDescent="0.2">
      <c r="AV364" s="52"/>
      <c r="AY364" s="52"/>
    </row>
    <row r="365" spans="48:51" s="16" customFormat="1" x14ac:dyDescent="0.2">
      <c r="AV365" s="52"/>
      <c r="AY365" s="52"/>
    </row>
    <row r="366" spans="48:51" s="16" customFormat="1" x14ac:dyDescent="0.2">
      <c r="AV366" s="52"/>
      <c r="AY366" s="52"/>
    </row>
    <row r="367" spans="48:51" s="16" customFormat="1" x14ac:dyDescent="0.2">
      <c r="AV367" s="52"/>
      <c r="AY367" s="52"/>
    </row>
    <row r="368" spans="48:51" s="16" customFormat="1" x14ac:dyDescent="0.2">
      <c r="AV368" s="52"/>
      <c r="AY368" s="52"/>
    </row>
    <row r="369" spans="48:51" s="16" customFormat="1" x14ac:dyDescent="0.2">
      <c r="AV369" s="52"/>
      <c r="AY369" s="52"/>
    </row>
    <row r="370" spans="48:51" s="16" customFormat="1" x14ac:dyDescent="0.2">
      <c r="AV370" s="52"/>
      <c r="AY370" s="52"/>
    </row>
    <row r="371" spans="48:51" s="16" customFormat="1" x14ac:dyDescent="0.2">
      <c r="AV371" s="52"/>
      <c r="AY371" s="52"/>
    </row>
    <row r="372" spans="48:51" s="16" customFormat="1" x14ac:dyDescent="0.2">
      <c r="AV372" s="52"/>
      <c r="AY372" s="52"/>
    </row>
    <row r="373" spans="48:51" s="16" customFormat="1" x14ac:dyDescent="0.2">
      <c r="AV373" s="52"/>
      <c r="AY373" s="52"/>
    </row>
    <row r="374" spans="48:51" s="16" customFormat="1" x14ac:dyDescent="0.2">
      <c r="AV374" s="52"/>
      <c r="AY374" s="52"/>
    </row>
    <row r="375" spans="48:51" s="16" customFormat="1" x14ac:dyDescent="0.2">
      <c r="AV375" s="52"/>
      <c r="AY375" s="52"/>
    </row>
    <row r="376" spans="48:51" s="16" customFormat="1" x14ac:dyDescent="0.2">
      <c r="AV376" s="52"/>
      <c r="AY376" s="52"/>
    </row>
    <row r="377" spans="48:51" s="16" customFormat="1" x14ac:dyDescent="0.2">
      <c r="AV377" s="52"/>
      <c r="AY377" s="52"/>
    </row>
    <row r="378" spans="48:51" s="16" customFormat="1" x14ac:dyDescent="0.2">
      <c r="AV378" s="52"/>
      <c r="AY378" s="52"/>
    </row>
    <row r="379" spans="48:51" s="16" customFormat="1" x14ac:dyDescent="0.2">
      <c r="AV379" s="52"/>
      <c r="AY379" s="52"/>
    </row>
    <row r="380" spans="48:51" s="16" customFormat="1" x14ac:dyDescent="0.2">
      <c r="AV380" s="52"/>
      <c r="AY380" s="52"/>
    </row>
    <row r="381" spans="48:51" s="16" customFormat="1" x14ac:dyDescent="0.2">
      <c r="AV381" s="52"/>
      <c r="AY381" s="52"/>
    </row>
    <row r="382" spans="48:51" s="16" customFormat="1" x14ac:dyDescent="0.2">
      <c r="AV382" s="52"/>
      <c r="AY382" s="52"/>
    </row>
    <row r="383" spans="48:51" s="16" customFormat="1" x14ac:dyDescent="0.2">
      <c r="AV383" s="52"/>
      <c r="AY383" s="52"/>
    </row>
    <row r="384" spans="48:51" s="16" customFormat="1" x14ac:dyDescent="0.2">
      <c r="AV384" s="52"/>
      <c r="AY384" s="52"/>
    </row>
    <row r="385" spans="48:51" s="16" customFormat="1" x14ac:dyDescent="0.2">
      <c r="AV385" s="52"/>
      <c r="AY385" s="52"/>
    </row>
    <row r="386" spans="48:51" s="16" customFormat="1" x14ac:dyDescent="0.2">
      <c r="AV386" s="52"/>
      <c r="AY386" s="52"/>
    </row>
    <row r="387" spans="48:51" s="16" customFormat="1" x14ac:dyDescent="0.2">
      <c r="AV387" s="52"/>
      <c r="AY387" s="52"/>
    </row>
    <row r="388" spans="48:51" s="16" customFormat="1" x14ac:dyDescent="0.2">
      <c r="AV388" s="52"/>
      <c r="AY388" s="52"/>
    </row>
    <row r="389" spans="48:51" s="16" customFormat="1" x14ac:dyDescent="0.2">
      <c r="AV389" s="52"/>
      <c r="AY389" s="52"/>
    </row>
    <row r="390" spans="48:51" s="16" customFormat="1" x14ac:dyDescent="0.2">
      <c r="AV390" s="52"/>
      <c r="AY390" s="52"/>
    </row>
    <row r="391" spans="48:51" s="16" customFormat="1" x14ac:dyDescent="0.2">
      <c r="AV391" s="52"/>
      <c r="AY391" s="52"/>
    </row>
    <row r="392" spans="48:51" s="16" customFormat="1" x14ac:dyDescent="0.2">
      <c r="AV392" s="52"/>
      <c r="AY392" s="52"/>
    </row>
    <row r="393" spans="48:51" s="16" customFormat="1" x14ac:dyDescent="0.2">
      <c r="AV393" s="52"/>
      <c r="AY393" s="52"/>
    </row>
    <row r="394" spans="48:51" s="16" customFormat="1" x14ac:dyDescent="0.2">
      <c r="AV394" s="52"/>
      <c r="AY394" s="52"/>
    </row>
    <row r="395" spans="48:51" s="16" customFormat="1" x14ac:dyDescent="0.2">
      <c r="AV395" s="52"/>
      <c r="AY395" s="52"/>
    </row>
    <row r="396" spans="48:51" s="16" customFormat="1" x14ac:dyDescent="0.2">
      <c r="AV396" s="52"/>
      <c r="AY396" s="52"/>
    </row>
    <row r="397" spans="48:51" s="16" customFormat="1" x14ac:dyDescent="0.2">
      <c r="AV397" s="52"/>
      <c r="AY397" s="52"/>
    </row>
    <row r="398" spans="48:51" s="16" customFormat="1" x14ac:dyDescent="0.2">
      <c r="AV398" s="52"/>
      <c r="AY398" s="52"/>
    </row>
    <row r="399" spans="48:51" s="16" customFormat="1" x14ac:dyDescent="0.2">
      <c r="AV399" s="52"/>
      <c r="AY399" s="52"/>
    </row>
    <row r="400" spans="48:51" s="16" customFormat="1" x14ac:dyDescent="0.2">
      <c r="AV400" s="52"/>
      <c r="AY400" s="52"/>
    </row>
    <row r="401" spans="48:51" s="16" customFormat="1" x14ac:dyDescent="0.2">
      <c r="AV401" s="52"/>
      <c r="AY401" s="52"/>
    </row>
    <row r="402" spans="48:51" s="16" customFormat="1" x14ac:dyDescent="0.2">
      <c r="AV402" s="52"/>
      <c r="AY402" s="52"/>
    </row>
    <row r="403" spans="48:51" s="16" customFormat="1" x14ac:dyDescent="0.2">
      <c r="AV403" s="52"/>
      <c r="AY403" s="52"/>
    </row>
    <row r="404" spans="48:51" s="16" customFormat="1" x14ac:dyDescent="0.2">
      <c r="AV404" s="52"/>
      <c r="AY404" s="52"/>
    </row>
    <row r="405" spans="48:51" s="16" customFormat="1" x14ac:dyDescent="0.2">
      <c r="AV405" s="52"/>
      <c r="AY405" s="52"/>
    </row>
    <row r="406" spans="48:51" s="16" customFormat="1" x14ac:dyDescent="0.2">
      <c r="AV406" s="52"/>
      <c r="AY406" s="52"/>
    </row>
    <row r="407" spans="48:51" s="16" customFormat="1" x14ac:dyDescent="0.2">
      <c r="AV407" s="52"/>
      <c r="AY407" s="52"/>
    </row>
    <row r="408" spans="48:51" s="16" customFormat="1" x14ac:dyDescent="0.2">
      <c r="AV408" s="52"/>
      <c r="AY408" s="52"/>
    </row>
    <row r="409" spans="48:51" s="16" customFormat="1" x14ac:dyDescent="0.2">
      <c r="AV409" s="52"/>
      <c r="AY409" s="52"/>
    </row>
    <row r="410" spans="48:51" s="16" customFormat="1" x14ac:dyDescent="0.2">
      <c r="AV410" s="52"/>
      <c r="AY410" s="52"/>
    </row>
    <row r="411" spans="48:51" s="16" customFormat="1" x14ac:dyDescent="0.2">
      <c r="AV411" s="52"/>
      <c r="AY411" s="52"/>
    </row>
    <row r="412" spans="48:51" s="16" customFormat="1" x14ac:dyDescent="0.2">
      <c r="AV412" s="52"/>
      <c r="AY412" s="52"/>
    </row>
    <row r="413" spans="48:51" s="16" customFormat="1" x14ac:dyDescent="0.2">
      <c r="AV413" s="52"/>
      <c r="AY413" s="52"/>
    </row>
    <row r="414" spans="48:51" s="16" customFormat="1" x14ac:dyDescent="0.2">
      <c r="AV414" s="52"/>
      <c r="AY414" s="52"/>
    </row>
    <row r="415" spans="48:51" s="16" customFormat="1" x14ac:dyDescent="0.2">
      <c r="AV415" s="52"/>
      <c r="AY415" s="52"/>
    </row>
    <row r="416" spans="48:51" s="16" customFormat="1" x14ac:dyDescent="0.2">
      <c r="AV416" s="52"/>
      <c r="AY416" s="52"/>
    </row>
    <row r="417" spans="48:51" s="16" customFormat="1" x14ac:dyDescent="0.2">
      <c r="AV417" s="52"/>
      <c r="AY417" s="52"/>
    </row>
    <row r="418" spans="48:51" s="16" customFormat="1" x14ac:dyDescent="0.2">
      <c r="AV418" s="52"/>
      <c r="AY418" s="52"/>
    </row>
    <row r="419" spans="48:51" s="16" customFormat="1" x14ac:dyDescent="0.2">
      <c r="AV419" s="52"/>
      <c r="AY419" s="52"/>
    </row>
    <row r="420" spans="48:51" s="16" customFormat="1" x14ac:dyDescent="0.2">
      <c r="AV420" s="52"/>
      <c r="AY420" s="52"/>
    </row>
    <row r="421" spans="48:51" s="16" customFormat="1" x14ac:dyDescent="0.2">
      <c r="AV421" s="52"/>
      <c r="AY421" s="52"/>
    </row>
    <row r="422" spans="48:51" s="16" customFormat="1" x14ac:dyDescent="0.2">
      <c r="AV422" s="52"/>
      <c r="AY422" s="52"/>
    </row>
    <row r="423" spans="48:51" s="16" customFormat="1" x14ac:dyDescent="0.2">
      <c r="AV423" s="52"/>
      <c r="AY423" s="52"/>
    </row>
    <row r="424" spans="48:51" s="16" customFormat="1" x14ac:dyDescent="0.2">
      <c r="AV424" s="52"/>
      <c r="AY424" s="52"/>
    </row>
    <row r="425" spans="48:51" s="16" customFormat="1" x14ac:dyDescent="0.2">
      <c r="AV425" s="52"/>
      <c r="AY425" s="52"/>
    </row>
    <row r="426" spans="48:51" s="16" customFormat="1" x14ac:dyDescent="0.2">
      <c r="AV426" s="52"/>
      <c r="AY426" s="52"/>
    </row>
    <row r="427" spans="48:51" s="16" customFormat="1" x14ac:dyDescent="0.2">
      <c r="AV427" s="52"/>
      <c r="AY427" s="52"/>
    </row>
    <row r="428" spans="48:51" s="16" customFormat="1" x14ac:dyDescent="0.2">
      <c r="AV428" s="52"/>
      <c r="AY428" s="52"/>
    </row>
    <row r="429" spans="48:51" s="16" customFormat="1" x14ac:dyDescent="0.2">
      <c r="AV429" s="52"/>
      <c r="AY429" s="52"/>
    </row>
    <row r="430" spans="48:51" s="16" customFormat="1" x14ac:dyDescent="0.2">
      <c r="AV430" s="52"/>
      <c r="AY430" s="52"/>
    </row>
    <row r="431" spans="48:51" s="16" customFormat="1" x14ac:dyDescent="0.2">
      <c r="AV431" s="52"/>
      <c r="AY431" s="52"/>
    </row>
    <row r="432" spans="48:51" s="16" customFormat="1" x14ac:dyDescent="0.2">
      <c r="AV432" s="52"/>
      <c r="AY432" s="52"/>
    </row>
    <row r="433" spans="48:51" s="16" customFormat="1" x14ac:dyDescent="0.2">
      <c r="AV433" s="52"/>
      <c r="AY433" s="52"/>
    </row>
    <row r="434" spans="48:51" s="16" customFormat="1" x14ac:dyDescent="0.2">
      <c r="AV434" s="52"/>
      <c r="AY434" s="52"/>
    </row>
    <row r="435" spans="48:51" s="16" customFormat="1" x14ac:dyDescent="0.2">
      <c r="AV435" s="52"/>
      <c r="AY435" s="52"/>
    </row>
    <row r="436" spans="48:51" s="16" customFormat="1" x14ac:dyDescent="0.2">
      <c r="AV436" s="52"/>
      <c r="AY436" s="52"/>
    </row>
    <row r="437" spans="48:51" s="16" customFormat="1" x14ac:dyDescent="0.2">
      <c r="AV437" s="52"/>
      <c r="AY437" s="52"/>
    </row>
    <row r="438" spans="48:51" s="16" customFormat="1" x14ac:dyDescent="0.2">
      <c r="AV438" s="52"/>
      <c r="AY438" s="52"/>
    </row>
    <row r="439" spans="48:51" s="16" customFormat="1" x14ac:dyDescent="0.2">
      <c r="AV439" s="52"/>
      <c r="AY439" s="52"/>
    </row>
    <row r="440" spans="48:51" s="16" customFormat="1" x14ac:dyDescent="0.2">
      <c r="AV440" s="52"/>
      <c r="AY440" s="52"/>
    </row>
    <row r="441" spans="48:51" s="16" customFormat="1" x14ac:dyDescent="0.2">
      <c r="AV441" s="52"/>
      <c r="AY441" s="52"/>
    </row>
    <row r="442" spans="48:51" s="16" customFormat="1" x14ac:dyDescent="0.2">
      <c r="AV442" s="52"/>
      <c r="AY442" s="52"/>
    </row>
    <row r="443" spans="48:51" s="16" customFormat="1" x14ac:dyDescent="0.2">
      <c r="AV443" s="52"/>
      <c r="AY443" s="52"/>
    </row>
    <row r="444" spans="48:51" s="16" customFormat="1" x14ac:dyDescent="0.2">
      <c r="AV444" s="52"/>
      <c r="AY444" s="52"/>
    </row>
    <row r="445" spans="48:51" s="16" customFormat="1" x14ac:dyDescent="0.2">
      <c r="AV445" s="52"/>
      <c r="AY445" s="52"/>
    </row>
    <row r="446" spans="48:51" s="16" customFormat="1" x14ac:dyDescent="0.2">
      <c r="AV446" s="52"/>
      <c r="AY446" s="52"/>
    </row>
    <row r="447" spans="48:51" s="16" customFormat="1" x14ac:dyDescent="0.2">
      <c r="AV447" s="52"/>
      <c r="AY447" s="52"/>
    </row>
    <row r="448" spans="48:51" s="16" customFormat="1" x14ac:dyDescent="0.2">
      <c r="AV448" s="52"/>
      <c r="AY448" s="52"/>
    </row>
    <row r="449" spans="48:51" s="16" customFormat="1" x14ac:dyDescent="0.2">
      <c r="AV449" s="52"/>
      <c r="AY449" s="52"/>
    </row>
    <row r="450" spans="48:51" s="16" customFormat="1" x14ac:dyDescent="0.2">
      <c r="AV450" s="52"/>
      <c r="AY450" s="52"/>
    </row>
    <row r="451" spans="48:51" s="16" customFormat="1" x14ac:dyDescent="0.2">
      <c r="AV451" s="52"/>
      <c r="AY451" s="52"/>
    </row>
    <row r="452" spans="48:51" s="16" customFormat="1" x14ac:dyDescent="0.2">
      <c r="AV452" s="52"/>
      <c r="AY452" s="52"/>
    </row>
    <row r="453" spans="48:51" s="16" customFormat="1" x14ac:dyDescent="0.2">
      <c r="AV453" s="52"/>
      <c r="AY453" s="52"/>
    </row>
    <row r="454" spans="48:51" s="16" customFormat="1" x14ac:dyDescent="0.2">
      <c r="AV454" s="52"/>
      <c r="AY454" s="52"/>
    </row>
    <row r="455" spans="48:51" s="16" customFormat="1" x14ac:dyDescent="0.2">
      <c r="AV455" s="52"/>
      <c r="AY455" s="52"/>
    </row>
    <row r="456" spans="48:51" s="16" customFormat="1" x14ac:dyDescent="0.2">
      <c r="AV456" s="52"/>
      <c r="AY456" s="52"/>
    </row>
    <row r="457" spans="48:51" s="16" customFormat="1" x14ac:dyDescent="0.2">
      <c r="AV457" s="52"/>
      <c r="AY457" s="52"/>
    </row>
    <row r="458" spans="48:51" s="16" customFormat="1" x14ac:dyDescent="0.2">
      <c r="AV458" s="52"/>
      <c r="AY458" s="52"/>
    </row>
    <row r="459" spans="48:51" s="16" customFormat="1" x14ac:dyDescent="0.2">
      <c r="AV459" s="52"/>
      <c r="AY459" s="52"/>
    </row>
    <row r="460" spans="48:51" s="16" customFormat="1" x14ac:dyDescent="0.2">
      <c r="AV460" s="52"/>
      <c r="AY460" s="52"/>
    </row>
    <row r="461" spans="48:51" s="16" customFormat="1" x14ac:dyDescent="0.2">
      <c r="AV461" s="52"/>
      <c r="AY461" s="52"/>
    </row>
    <row r="462" spans="48:51" s="16" customFormat="1" x14ac:dyDescent="0.2">
      <c r="AV462" s="52"/>
      <c r="AY462" s="52"/>
    </row>
    <row r="463" spans="48:51" s="16" customFormat="1" x14ac:dyDescent="0.2">
      <c r="AV463" s="52"/>
      <c r="AY463" s="52"/>
    </row>
    <row r="464" spans="48:51" s="16" customFormat="1" x14ac:dyDescent="0.2">
      <c r="AV464" s="52"/>
      <c r="AY464" s="52"/>
    </row>
    <row r="465" spans="48:51" s="16" customFormat="1" x14ac:dyDescent="0.2">
      <c r="AV465" s="52"/>
      <c r="AY465" s="52"/>
    </row>
    <row r="466" spans="48:51" s="16" customFormat="1" x14ac:dyDescent="0.2">
      <c r="AV466" s="52"/>
      <c r="AY466" s="52"/>
    </row>
    <row r="467" spans="48:51" s="16" customFormat="1" x14ac:dyDescent="0.2">
      <c r="AV467" s="52"/>
      <c r="AY467" s="52"/>
    </row>
    <row r="468" spans="48:51" s="16" customFormat="1" x14ac:dyDescent="0.2">
      <c r="AV468" s="52"/>
      <c r="AY468" s="52"/>
    </row>
    <row r="469" spans="48:51" s="16" customFormat="1" x14ac:dyDescent="0.2">
      <c r="AV469" s="52"/>
      <c r="AY469" s="52"/>
    </row>
    <row r="470" spans="48:51" s="16" customFormat="1" x14ac:dyDescent="0.2">
      <c r="AV470" s="52"/>
      <c r="AY470" s="52"/>
    </row>
    <row r="471" spans="48:51" s="16" customFormat="1" x14ac:dyDescent="0.2">
      <c r="AV471" s="52"/>
      <c r="AY471" s="52"/>
    </row>
    <row r="472" spans="48:51" s="16" customFormat="1" x14ac:dyDescent="0.2">
      <c r="AV472" s="52"/>
      <c r="AY472" s="52"/>
    </row>
    <row r="473" spans="48:51" s="16" customFormat="1" x14ac:dyDescent="0.2">
      <c r="AV473" s="52"/>
      <c r="AY473" s="52"/>
    </row>
    <row r="474" spans="48:51" s="16" customFormat="1" x14ac:dyDescent="0.2">
      <c r="AV474" s="52"/>
      <c r="AY474" s="52"/>
    </row>
    <row r="475" spans="48:51" s="16" customFormat="1" x14ac:dyDescent="0.2">
      <c r="AV475" s="52"/>
      <c r="AY475" s="52"/>
    </row>
    <row r="476" spans="48:51" s="16" customFormat="1" x14ac:dyDescent="0.2">
      <c r="AV476" s="52"/>
      <c r="AY476" s="52"/>
    </row>
    <row r="477" spans="48:51" s="16" customFormat="1" x14ac:dyDescent="0.2">
      <c r="AV477" s="52"/>
      <c r="AY477" s="52"/>
    </row>
    <row r="478" spans="48:51" s="16" customFormat="1" x14ac:dyDescent="0.2">
      <c r="AV478" s="52"/>
      <c r="AY478" s="52"/>
    </row>
    <row r="479" spans="48:51" s="16" customFormat="1" x14ac:dyDescent="0.2">
      <c r="AV479" s="52"/>
      <c r="AY479" s="52"/>
    </row>
    <row r="480" spans="48:51" s="16" customFormat="1" x14ac:dyDescent="0.2">
      <c r="AV480" s="52"/>
      <c r="AY480" s="52"/>
    </row>
    <row r="481" spans="48:51" s="16" customFormat="1" x14ac:dyDescent="0.2">
      <c r="AV481" s="52"/>
      <c r="AY481" s="52"/>
    </row>
    <row r="482" spans="48:51" s="16" customFormat="1" x14ac:dyDescent="0.2">
      <c r="AV482" s="52"/>
      <c r="AY482" s="52"/>
    </row>
    <row r="483" spans="48:51" s="16" customFormat="1" x14ac:dyDescent="0.2">
      <c r="AV483" s="52"/>
      <c r="AY483" s="52"/>
    </row>
    <row r="484" spans="48:51" s="16" customFormat="1" x14ac:dyDescent="0.2">
      <c r="AV484" s="52"/>
      <c r="AY484" s="52"/>
    </row>
    <row r="485" spans="48:51" s="16" customFormat="1" x14ac:dyDescent="0.2">
      <c r="AV485" s="52"/>
      <c r="AY485" s="52"/>
    </row>
    <row r="486" spans="48:51" s="16" customFormat="1" x14ac:dyDescent="0.2">
      <c r="AV486" s="52"/>
      <c r="AY486" s="52"/>
    </row>
    <row r="487" spans="48:51" s="16" customFormat="1" x14ac:dyDescent="0.2">
      <c r="AV487" s="52"/>
      <c r="AY487" s="52"/>
    </row>
    <row r="488" spans="48:51" s="16" customFormat="1" x14ac:dyDescent="0.2">
      <c r="AV488" s="52"/>
      <c r="AY488" s="52"/>
    </row>
    <row r="489" spans="48:51" s="16" customFormat="1" x14ac:dyDescent="0.2">
      <c r="AV489" s="52"/>
      <c r="AY489" s="52"/>
    </row>
    <row r="490" spans="48:51" s="16" customFormat="1" x14ac:dyDescent="0.2">
      <c r="AV490" s="52"/>
      <c r="AY490" s="52"/>
    </row>
    <row r="491" spans="48:51" s="16" customFormat="1" x14ac:dyDescent="0.2">
      <c r="AV491" s="52"/>
      <c r="AY491" s="52"/>
    </row>
    <row r="492" spans="48:51" s="16" customFormat="1" x14ac:dyDescent="0.2">
      <c r="AV492" s="52"/>
      <c r="AY492" s="52"/>
    </row>
    <row r="493" spans="48:51" s="16" customFormat="1" x14ac:dyDescent="0.2">
      <c r="AV493" s="52"/>
      <c r="AY493" s="52"/>
    </row>
    <row r="494" spans="48:51" s="16" customFormat="1" x14ac:dyDescent="0.2">
      <c r="AV494" s="52"/>
      <c r="AY494" s="52"/>
    </row>
    <row r="495" spans="48:51" s="16" customFormat="1" x14ac:dyDescent="0.2">
      <c r="AV495" s="52"/>
      <c r="AY495" s="52"/>
    </row>
    <row r="496" spans="48:51" s="16" customFormat="1" x14ac:dyDescent="0.2">
      <c r="AV496" s="52"/>
      <c r="AY496" s="52"/>
    </row>
    <row r="497" spans="48:51" s="16" customFormat="1" x14ac:dyDescent="0.2">
      <c r="AV497" s="52"/>
      <c r="AY497" s="52"/>
    </row>
    <row r="498" spans="48:51" s="16" customFormat="1" x14ac:dyDescent="0.2">
      <c r="AV498" s="52"/>
      <c r="AY498" s="52"/>
    </row>
    <row r="499" spans="48:51" s="16" customFormat="1" x14ac:dyDescent="0.2">
      <c r="AV499" s="52"/>
      <c r="AY499" s="52"/>
    </row>
    <row r="500" spans="48:51" s="16" customFormat="1" x14ac:dyDescent="0.2">
      <c r="AV500" s="52"/>
      <c r="AY500" s="52"/>
    </row>
    <row r="501" spans="48:51" s="16" customFormat="1" x14ac:dyDescent="0.2">
      <c r="AV501" s="52"/>
      <c r="AY501" s="52"/>
    </row>
    <row r="502" spans="48:51" s="16" customFormat="1" x14ac:dyDescent="0.2">
      <c r="AV502" s="52"/>
      <c r="AY502" s="52"/>
    </row>
    <row r="503" spans="48:51" s="16" customFormat="1" x14ac:dyDescent="0.2">
      <c r="AV503" s="52"/>
      <c r="AY503" s="52"/>
    </row>
    <row r="504" spans="48:51" s="16" customFormat="1" x14ac:dyDescent="0.2">
      <c r="AV504" s="52"/>
      <c r="AY504" s="52"/>
    </row>
    <row r="505" spans="48:51" s="16" customFormat="1" x14ac:dyDescent="0.2">
      <c r="AV505" s="52"/>
      <c r="AY505" s="52"/>
    </row>
    <row r="506" spans="48:51" s="16" customFormat="1" x14ac:dyDescent="0.2">
      <c r="AV506" s="52"/>
      <c r="AY506" s="52"/>
    </row>
    <row r="507" spans="48:51" s="16" customFormat="1" x14ac:dyDescent="0.2">
      <c r="AV507" s="52"/>
      <c r="AY507" s="52"/>
    </row>
    <row r="508" spans="48:51" s="16" customFormat="1" x14ac:dyDescent="0.2">
      <c r="AV508" s="52"/>
      <c r="AY508" s="52"/>
    </row>
    <row r="509" spans="48:51" s="16" customFormat="1" x14ac:dyDescent="0.2">
      <c r="AV509" s="52"/>
      <c r="AY509" s="52"/>
    </row>
    <row r="510" spans="48:51" s="16" customFormat="1" x14ac:dyDescent="0.2">
      <c r="AV510" s="52"/>
      <c r="AY510" s="52"/>
    </row>
    <row r="511" spans="48:51" s="16" customFormat="1" x14ac:dyDescent="0.2">
      <c r="AV511" s="52"/>
      <c r="AY511" s="52"/>
    </row>
    <row r="512" spans="48:51" s="16" customFormat="1" x14ac:dyDescent="0.2">
      <c r="AV512" s="52"/>
      <c r="AY512" s="52"/>
    </row>
    <row r="513" spans="48:51" s="16" customFormat="1" x14ac:dyDescent="0.2">
      <c r="AV513" s="52"/>
      <c r="AY513" s="52"/>
    </row>
    <row r="514" spans="48:51" s="16" customFormat="1" x14ac:dyDescent="0.2">
      <c r="AV514" s="52"/>
      <c r="AY514" s="52"/>
    </row>
    <row r="515" spans="48:51" s="16" customFormat="1" x14ac:dyDescent="0.2">
      <c r="AV515" s="52"/>
      <c r="AY515" s="52"/>
    </row>
    <row r="516" spans="48:51" s="16" customFormat="1" x14ac:dyDescent="0.2">
      <c r="AV516" s="52"/>
      <c r="AY516" s="52"/>
    </row>
    <row r="517" spans="48:51" s="16" customFormat="1" x14ac:dyDescent="0.2">
      <c r="AV517" s="52"/>
      <c r="AY517" s="52"/>
    </row>
    <row r="518" spans="48:51" s="16" customFormat="1" x14ac:dyDescent="0.2">
      <c r="AV518" s="52"/>
      <c r="AY518" s="52"/>
    </row>
    <row r="519" spans="48:51" s="16" customFormat="1" x14ac:dyDescent="0.2">
      <c r="AV519" s="52"/>
      <c r="AY519" s="52"/>
    </row>
    <row r="520" spans="48:51" s="16" customFormat="1" x14ac:dyDescent="0.2">
      <c r="AV520" s="52"/>
      <c r="AY520" s="52"/>
    </row>
    <row r="521" spans="48:51" s="16" customFormat="1" x14ac:dyDescent="0.2">
      <c r="AV521" s="52"/>
      <c r="AY521" s="52"/>
    </row>
    <row r="522" spans="48:51" s="16" customFormat="1" x14ac:dyDescent="0.2">
      <c r="AV522" s="52"/>
      <c r="AY522" s="52"/>
    </row>
    <row r="523" spans="48:51" s="16" customFormat="1" x14ac:dyDescent="0.2">
      <c r="AV523" s="52"/>
      <c r="AY523" s="52"/>
    </row>
    <row r="524" spans="48:51" s="16" customFormat="1" x14ac:dyDescent="0.2">
      <c r="AV524" s="52"/>
      <c r="AY524" s="52"/>
    </row>
    <row r="525" spans="48:51" s="16" customFormat="1" x14ac:dyDescent="0.2">
      <c r="AV525" s="52"/>
      <c r="AY525" s="52"/>
    </row>
    <row r="526" spans="48:51" s="16" customFormat="1" x14ac:dyDescent="0.2">
      <c r="AV526" s="52"/>
      <c r="AY526" s="52"/>
    </row>
    <row r="527" spans="48:51" s="16" customFormat="1" x14ac:dyDescent="0.2">
      <c r="AV527" s="52"/>
      <c r="AY527" s="52"/>
    </row>
    <row r="528" spans="48:51" s="16" customFormat="1" x14ac:dyDescent="0.2">
      <c r="AV528" s="52"/>
      <c r="AY528" s="52"/>
    </row>
    <row r="529" spans="48:51" s="16" customFormat="1" x14ac:dyDescent="0.2">
      <c r="AV529" s="52"/>
      <c r="AY529" s="52"/>
    </row>
    <row r="530" spans="48:51" s="16" customFormat="1" x14ac:dyDescent="0.2">
      <c r="AV530" s="52"/>
      <c r="AY530" s="52"/>
    </row>
    <row r="531" spans="48:51" s="16" customFormat="1" x14ac:dyDescent="0.2">
      <c r="AV531" s="52"/>
      <c r="AY531" s="52"/>
    </row>
    <row r="532" spans="48:51" s="16" customFormat="1" x14ac:dyDescent="0.2">
      <c r="AV532" s="52"/>
      <c r="AY532" s="52"/>
    </row>
    <row r="533" spans="48:51" s="16" customFormat="1" x14ac:dyDescent="0.2">
      <c r="AV533" s="52"/>
      <c r="AY533" s="52"/>
    </row>
    <row r="534" spans="48:51" s="16" customFormat="1" x14ac:dyDescent="0.2">
      <c r="AV534" s="52"/>
      <c r="AY534" s="52"/>
    </row>
    <row r="535" spans="48:51" s="16" customFormat="1" x14ac:dyDescent="0.2">
      <c r="AV535" s="52"/>
      <c r="AY535" s="52"/>
    </row>
    <row r="536" spans="48:51" s="16" customFormat="1" x14ac:dyDescent="0.2">
      <c r="AV536" s="52"/>
      <c r="AY536" s="52"/>
    </row>
    <row r="537" spans="48:51" s="16" customFormat="1" x14ac:dyDescent="0.2">
      <c r="AV537" s="52"/>
      <c r="AY537" s="52"/>
    </row>
    <row r="538" spans="48:51" s="16" customFormat="1" x14ac:dyDescent="0.2">
      <c r="AV538" s="52"/>
      <c r="AY538" s="52"/>
    </row>
    <row r="539" spans="48:51" s="16" customFormat="1" x14ac:dyDescent="0.2">
      <c r="AV539" s="52"/>
      <c r="AY539" s="52"/>
    </row>
    <row r="540" spans="48:51" s="16" customFormat="1" x14ac:dyDescent="0.2">
      <c r="AV540" s="52"/>
      <c r="AY540" s="52"/>
    </row>
    <row r="541" spans="48:51" s="16" customFormat="1" x14ac:dyDescent="0.2">
      <c r="AV541" s="52"/>
      <c r="AY541" s="52"/>
    </row>
    <row r="542" spans="48:51" s="16" customFormat="1" x14ac:dyDescent="0.2">
      <c r="AV542" s="52"/>
      <c r="AY542" s="52"/>
    </row>
    <row r="543" spans="48:51" s="16" customFormat="1" x14ac:dyDescent="0.2">
      <c r="AV543" s="52"/>
      <c r="AY543" s="52"/>
    </row>
    <row r="544" spans="48:51" s="16" customFormat="1" x14ac:dyDescent="0.2">
      <c r="AV544" s="52"/>
      <c r="AY544" s="52"/>
    </row>
    <row r="545" spans="48:51" s="16" customFormat="1" x14ac:dyDescent="0.2">
      <c r="AV545" s="52"/>
      <c r="AY545" s="52"/>
    </row>
    <row r="546" spans="48:51" s="16" customFormat="1" x14ac:dyDescent="0.2">
      <c r="AV546" s="52"/>
      <c r="AY546" s="52"/>
    </row>
    <row r="547" spans="48:51" s="16" customFormat="1" x14ac:dyDescent="0.2">
      <c r="AV547" s="52"/>
      <c r="AY547" s="52"/>
    </row>
    <row r="548" spans="48:51" s="16" customFormat="1" x14ac:dyDescent="0.2">
      <c r="AV548" s="52"/>
      <c r="AY548" s="52"/>
    </row>
    <row r="549" spans="48:51" s="16" customFormat="1" x14ac:dyDescent="0.2">
      <c r="AV549" s="52"/>
      <c r="AY549" s="52"/>
    </row>
    <row r="550" spans="48:51" s="16" customFormat="1" x14ac:dyDescent="0.2">
      <c r="AV550" s="52"/>
      <c r="AY550" s="52"/>
    </row>
    <row r="551" spans="48:51" s="16" customFormat="1" x14ac:dyDescent="0.2">
      <c r="AV551" s="52"/>
      <c r="AY551" s="52"/>
    </row>
    <row r="552" spans="48:51" s="16" customFormat="1" x14ac:dyDescent="0.2">
      <c r="AV552" s="52"/>
      <c r="AY552" s="52"/>
    </row>
    <row r="553" spans="48:51" s="16" customFormat="1" x14ac:dyDescent="0.2">
      <c r="AV553" s="52"/>
      <c r="AY553" s="52"/>
    </row>
    <row r="554" spans="48:51" s="16" customFormat="1" x14ac:dyDescent="0.2">
      <c r="AV554" s="52"/>
      <c r="AY554" s="52"/>
    </row>
    <row r="555" spans="48:51" s="16" customFormat="1" x14ac:dyDescent="0.2">
      <c r="AV555" s="52"/>
      <c r="AY555" s="52"/>
    </row>
    <row r="556" spans="48:51" s="16" customFormat="1" x14ac:dyDescent="0.2">
      <c r="AV556" s="52"/>
      <c r="AY556" s="52"/>
    </row>
    <row r="557" spans="48:51" s="16" customFormat="1" x14ac:dyDescent="0.2">
      <c r="AV557" s="52"/>
      <c r="AY557" s="52"/>
    </row>
    <row r="558" spans="48:51" s="16" customFormat="1" x14ac:dyDescent="0.2">
      <c r="AV558" s="52"/>
      <c r="AY558" s="52"/>
    </row>
    <row r="559" spans="48:51" s="16" customFormat="1" x14ac:dyDescent="0.2">
      <c r="AV559" s="52"/>
      <c r="AY559" s="52"/>
    </row>
    <row r="560" spans="48:51" s="16" customFormat="1" x14ac:dyDescent="0.2">
      <c r="AV560" s="52"/>
      <c r="AY560" s="52"/>
    </row>
    <row r="561" spans="48:51" s="16" customFormat="1" x14ac:dyDescent="0.2">
      <c r="AV561" s="52"/>
      <c r="AY561" s="52"/>
    </row>
    <row r="562" spans="48:51" s="16" customFormat="1" x14ac:dyDescent="0.2">
      <c r="AV562" s="52"/>
      <c r="AY562" s="52"/>
    </row>
    <row r="563" spans="48:51" s="16" customFormat="1" x14ac:dyDescent="0.2">
      <c r="AV563" s="52"/>
      <c r="AY563" s="52"/>
    </row>
    <row r="564" spans="48:51" s="16" customFormat="1" x14ac:dyDescent="0.2">
      <c r="AV564" s="52"/>
      <c r="AY564" s="52"/>
    </row>
    <row r="565" spans="48:51" s="16" customFormat="1" x14ac:dyDescent="0.2">
      <c r="AV565" s="52"/>
      <c r="AY565" s="52"/>
    </row>
    <row r="566" spans="48:51" s="16" customFormat="1" x14ac:dyDescent="0.2">
      <c r="AV566" s="52"/>
      <c r="AY566" s="52"/>
    </row>
    <row r="567" spans="48:51" s="16" customFormat="1" x14ac:dyDescent="0.2">
      <c r="AV567" s="52"/>
      <c r="AY567" s="52"/>
    </row>
    <row r="568" spans="48:51" s="16" customFormat="1" x14ac:dyDescent="0.2">
      <c r="AV568" s="52"/>
      <c r="AY568" s="52"/>
    </row>
    <row r="569" spans="48:51" s="16" customFormat="1" x14ac:dyDescent="0.2">
      <c r="AV569" s="52"/>
      <c r="AY569" s="52"/>
    </row>
    <row r="570" spans="48:51" s="16" customFormat="1" x14ac:dyDescent="0.2">
      <c r="AV570" s="52"/>
      <c r="AY570" s="52"/>
    </row>
    <row r="571" spans="48:51" s="16" customFormat="1" x14ac:dyDescent="0.2">
      <c r="AV571" s="52"/>
      <c r="AY571" s="52"/>
    </row>
    <row r="572" spans="48:51" s="16" customFormat="1" x14ac:dyDescent="0.2">
      <c r="AV572" s="52"/>
      <c r="AY572" s="52"/>
    </row>
    <row r="573" spans="48:51" s="16" customFormat="1" x14ac:dyDescent="0.2">
      <c r="AV573" s="52"/>
      <c r="AY573" s="52"/>
    </row>
    <row r="574" spans="48:51" s="16" customFormat="1" x14ac:dyDescent="0.2">
      <c r="AV574" s="52"/>
      <c r="AY574" s="52"/>
    </row>
    <row r="575" spans="48:51" s="16" customFormat="1" x14ac:dyDescent="0.2">
      <c r="AV575" s="52"/>
      <c r="AY575" s="52"/>
    </row>
    <row r="576" spans="48:51" s="16" customFormat="1" x14ac:dyDescent="0.2">
      <c r="AV576" s="52"/>
      <c r="AY576" s="52"/>
    </row>
    <row r="577" spans="48:51" s="16" customFormat="1" x14ac:dyDescent="0.2">
      <c r="AV577" s="52"/>
      <c r="AY577" s="52"/>
    </row>
    <row r="578" spans="48:51" s="16" customFormat="1" x14ac:dyDescent="0.2">
      <c r="AV578" s="52"/>
      <c r="AY578" s="52"/>
    </row>
    <row r="579" spans="48:51" s="16" customFormat="1" x14ac:dyDescent="0.2">
      <c r="AV579" s="52"/>
      <c r="AY579" s="52"/>
    </row>
    <row r="580" spans="48:51" s="16" customFormat="1" x14ac:dyDescent="0.2">
      <c r="AV580" s="52"/>
      <c r="AY580" s="52"/>
    </row>
    <row r="581" spans="48:51" s="16" customFormat="1" x14ac:dyDescent="0.2">
      <c r="AV581" s="52"/>
      <c r="AY581" s="52"/>
    </row>
    <row r="582" spans="48:51" s="16" customFormat="1" x14ac:dyDescent="0.2">
      <c r="AV582" s="52"/>
      <c r="AY582" s="52"/>
    </row>
    <row r="583" spans="48:51" s="16" customFormat="1" x14ac:dyDescent="0.2">
      <c r="AV583" s="52"/>
      <c r="AY583" s="52"/>
    </row>
    <row r="584" spans="48:51" s="16" customFormat="1" x14ac:dyDescent="0.2">
      <c r="AV584" s="52"/>
      <c r="AY584" s="52"/>
    </row>
    <row r="585" spans="48:51" s="16" customFormat="1" x14ac:dyDescent="0.2">
      <c r="AV585" s="52"/>
      <c r="AY585" s="52"/>
    </row>
    <row r="586" spans="48:51" s="16" customFormat="1" x14ac:dyDescent="0.2">
      <c r="AV586" s="52"/>
      <c r="AY586" s="52"/>
    </row>
    <row r="587" spans="48:51" s="16" customFormat="1" x14ac:dyDescent="0.2">
      <c r="AV587" s="52"/>
      <c r="AY587" s="52"/>
    </row>
    <row r="588" spans="48:51" s="16" customFormat="1" x14ac:dyDescent="0.2">
      <c r="AV588" s="52"/>
      <c r="AY588" s="52"/>
    </row>
    <row r="589" spans="48:51" s="16" customFormat="1" x14ac:dyDescent="0.2">
      <c r="AV589" s="52"/>
      <c r="AY589" s="52"/>
    </row>
    <row r="590" spans="48:51" s="16" customFormat="1" x14ac:dyDescent="0.2">
      <c r="AV590" s="52"/>
      <c r="AY590" s="52"/>
    </row>
    <row r="591" spans="48:51" s="16" customFormat="1" x14ac:dyDescent="0.2">
      <c r="AV591" s="52"/>
      <c r="AY591" s="52"/>
    </row>
    <row r="592" spans="48:51" s="16" customFormat="1" x14ac:dyDescent="0.2">
      <c r="AV592" s="52"/>
      <c r="AY592" s="52"/>
    </row>
    <row r="593" spans="48:51" s="16" customFormat="1" x14ac:dyDescent="0.2">
      <c r="AV593" s="52"/>
      <c r="AY593" s="52"/>
    </row>
    <row r="594" spans="48:51" s="16" customFormat="1" x14ac:dyDescent="0.2">
      <c r="AV594" s="52"/>
      <c r="AY594" s="52"/>
    </row>
    <row r="595" spans="48:51" s="16" customFormat="1" x14ac:dyDescent="0.2">
      <c r="AV595" s="52"/>
      <c r="AY595" s="52"/>
    </row>
    <row r="596" spans="48:51" s="16" customFormat="1" x14ac:dyDescent="0.2">
      <c r="AV596" s="52"/>
      <c r="AY596" s="52"/>
    </row>
    <row r="597" spans="48:51" s="16" customFormat="1" x14ac:dyDescent="0.2">
      <c r="AV597" s="52"/>
      <c r="AY597" s="52"/>
    </row>
    <row r="598" spans="48:51" s="16" customFormat="1" x14ac:dyDescent="0.2">
      <c r="AV598" s="52"/>
      <c r="AY598" s="52"/>
    </row>
    <row r="599" spans="48:51" s="16" customFormat="1" x14ac:dyDescent="0.2">
      <c r="AV599" s="52"/>
      <c r="AY599" s="52"/>
    </row>
    <row r="600" spans="48:51" s="16" customFormat="1" x14ac:dyDescent="0.2">
      <c r="AV600" s="52"/>
      <c r="AY600" s="52"/>
    </row>
    <row r="601" spans="48:51" s="16" customFormat="1" x14ac:dyDescent="0.2">
      <c r="AV601" s="52"/>
      <c r="AY601" s="52"/>
    </row>
    <row r="602" spans="48:51" s="16" customFormat="1" x14ac:dyDescent="0.2">
      <c r="AV602" s="52"/>
      <c r="AY602" s="52"/>
    </row>
    <row r="603" spans="48:51" s="16" customFormat="1" x14ac:dyDescent="0.2">
      <c r="AV603" s="52"/>
      <c r="AY603" s="52"/>
    </row>
    <row r="604" spans="48:51" s="16" customFormat="1" x14ac:dyDescent="0.2">
      <c r="AV604" s="52"/>
      <c r="AY604" s="52"/>
    </row>
    <row r="605" spans="48:51" s="16" customFormat="1" x14ac:dyDescent="0.2">
      <c r="AV605" s="52"/>
      <c r="AY605" s="52"/>
    </row>
    <row r="606" spans="48:51" s="16" customFormat="1" x14ac:dyDescent="0.2">
      <c r="AV606" s="52"/>
      <c r="AY606" s="52"/>
    </row>
    <row r="607" spans="48:51" s="16" customFormat="1" x14ac:dyDescent="0.2">
      <c r="AV607" s="52"/>
      <c r="AY607" s="52"/>
    </row>
    <row r="608" spans="48:51" s="16" customFormat="1" x14ac:dyDescent="0.2">
      <c r="AV608" s="52"/>
      <c r="AY608" s="52"/>
    </row>
    <row r="609" spans="48:51" s="16" customFormat="1" x14ac:dyDescent="0.2">
      <c r="AV609" s="52"/>
      <c r="AY609" s="52"/>
    </row>
    <row r="610" spans="48:51" s="16" customFormat="1" x14ac:dyDescent="0.2">
      <c r="AV610" s="52"/>
      <c r="AY610" s="52"/>
    </row>
    <row r="611" spans="48:51" s="16" customFormat="1" x14ac:dyDescent="0.2">
      <c r="AV611" s="52"/>
      <c r="AY611" s="52"/>
    </row>
    <row r="612" spans="48:51" s="16" customFormat="1" x14ac:dyDescent="0.2">
      <c r="AV612" s="52"/>
      <c r="AY612" s="52"/>
    </row>
    <row r="613" spans="48:51" s="16" customFormat="1" x14ac:dyDescent="0.2">
      <c r="AV613" s="52"/>
      <c r="AY613" s="52"/>
    </row>
    <row r="614" spans="48:51" s="16" customFormat="1" x14ac:dyDescent="0.2">
      <c r="AV614" s="52"/>
      <c r="AY614" s="52"/>
    </row>
    <row r="615" spans="48:51" s="16" customFormat="1" x14ac:dyDescent="0.2">
      <c r="AV615" s="52"/>
      <c r="AY615" s="52"/>
    </row>
    <row r="616" spans="48:51" s="16" customFormat="1" x14ac:dyDescent="0.2">
      <c r="AV616" s="52"/>
      <c r="AY616" s="52"/>
    </row>
    <row r="617" spans="48:51" s="16" customFormat="1" x14ac:dyDescent="0.2">
      <c r="AV617" s="52"/>
      <c r="AY617" s="52"/>
    </row>
    <row r="618" spans="48:51" s="16" customFormat="1" x14ac:dyDescent="0.2">
      <c r="AV618" s="52"/>
      <c r="AY618" s="52"/>
    </row>
    <row r="619" spans="48:51" s="16" customFormat="1" x14ac:dyDescent="0.2">
      <c r="AV619" s="52"/>
      <c r="AY619" s="52"/>
    </row>
    <row r="620" spans="48:51" s="16" customFormat="1" x14ac:dyDescent="0.2">
      <c r="AV620" s="52"/>
      <c r="AY620" s="52"/>
    </row>
    <row r="621" spans="48:51" s="16" customFormat="1" x14ac:dyDescent="0.2">
      <c r="AV621" s="52"/>
      <c r="AY621" s="52"/>
    </row>
    <row r="622" spans="48:51" s="16" customFormat="1" x14ac:dyDescent="0.2">
      <c r="AV622" s="52"/>
      <c r="AY622" s="52"/>
    </row>
    <row r="623" spans="48:51" s="16" customFormat="1" x14ac:dyDescent="0.2">
      <c r="AV623" s="52"/>
      <c r="AY623" s="52"/>
    </row>
    <row r="624" spans="48:51" s="16" customFormat="1" x14ac:dyDescent="0.2">
      <c r="AV624" s="52"/>
      <c r="AY624" s="52"/>
    </row>
    <row r="625" spans="48:51" s="16" customFormat="1" x14ac:dyDescent="0.2">
      <c r="AV625" s="52"/>
      <c r="AY625" s="52"/>
    </row>
    <row r="626" spans="48:51" s="16" customFormat="1" x14ac:dyDescent="0.2">
      <c r="AV626" s="52"/>
      <c r="AY626" s="52"/>
    </row>
    <row r="627" spans="48:51" s="16" customFormat="1" x14ac:dyDescent="0.2">
      <c r="AV627" s="52"/>
      <c r="AY627" s="52"/>
    </row>
    <row r="628" spans="48:51" s="16" customFormat="1" x14ac:dyDescent="0.2">
      <c r="AV628" s="52"/>
      <c r="AY628" s="52"/>
    </row>
    <row r="629" spans="48:51" s="16" customFormat="1" x14ac:dyDescent="0.2">
      <c r="AV629" s="52"/>
      <c r="AY629" s="52"/>
    </row>
    <row r="630" spans="48:51" s="16" customFormat="1" x14ac:dyDescent="0.2">
      <c r="AV630" s="52"/>
      <c r="AY630" s="52"/>
    </row>
    <row r="631" spans="48:51" s="16" customFormat="1" x14ac:dyDescent="0.2">
      <c r="AV631" s="52"/>
      <c r="AY631" s="52"/>
    </row>
    <row r="632" spans="48:51" s="16" customFormat="1" x14ac:dyDescent="0.2">
      <c r="AV632" s="52"/>
      <c r="AY632" s="52"/>
    </row>
    <row r="633" spans="48:51" s="16" customFormat="1" x14ac:dyDescent="0.2">
      <c r="AV633" s="52"/>
      <c r="AY633" s="52"/>
    </row>
    <row r="634" spans="48:51" s="16" customFormat="1" x14ac:dyDescent="0.2">
      <c r="AV634" s="52"/>
      <c r="AY634" s="52"/>
    </row>
    <row r="635" spans="48:51" s="16" customFormat="1" x14ac:dyDescent="0.2">
      <c r="AV635" s="52"/>
      <c r="AY635" s="52"/>
    </row>
    <row r="636" spans="48:51" s="16" customFormat="1" x14ac:dyDescent="0.2">
      <c r="AV636" s="52"/>
      <c r="AY636" s="52"/>
    </row>
    <row r="637" spans="48:51" s="16" customFormat="1" x14ac:dyDescent="0.2">
      <c r="AV637" s="52"/>
      <c r="AY637" s="52"/>
    </row>
    <row r="638" spans="48:51" s="16" customFormat="1" x14ac:dyDescent="0.2">
      <c r="AV638" s="52"/>
      <c r="AY638" s="52"/>
    </row>
    <row r="639" spans="48:51" s="16" customFormat="1" x14ac:dyDescent="0.2">
      <c r="AV639" s="52"/>
      <c r="AY639" s="52"/>
    </row>
    <row r="640" spans="48:51" s="16" customFormat="1" x14ac:dyDescent="0.2">
      <c r="AV640" s="52"/>
      <c r="AY640" s="52"/>
    </row>
    <row r="641" spans="48:51" s="16" customFormat="1" x14ac:dyDescent="0.2">
      <c r="AV641" s="52"/>
      <c r="AY641" s="52"/>
    </row>
    <row r="642" spans="48:51" s="16" customFormat="1" x14ac:dyDescent="0.2">
      <c r="AV642" s="52"/>
      <c r="AY642" s="52"/>
    </row>
    <row r="643" spans="48:51" s="16" customFormat="1" x14ac:dyDescent="0.2">
      <c r="AV643" s="52"/>
      <c r="AY643" s="52"/>
    </row>
    <row r="644" spans="48:51" s="16" customFormat="1" x14ac:dyDescent="0.2">
      <c r="AV644" s="52"/>
      <c r="AY644" s="52"/>
    </row>
    <row r="645" spans="48:51" s="16" customFormat="1" x14ac:dyDescent="0.2">
      <c r="AV645" s="52"/>
      <c r="AY645" s="52"/>
    </row>
    <row r="646" spans="48:51" s="16" customFormat="1" x14ac:dyDescent="0.2">
      <c r="AV646" s="52"/>
      <c r="AY646" s="52"/>
    </row>
    <row r="647" spans="48:51" s="16" customFormat="1" x14ac:dyDescent="0.2">
      <c r="AV647" s="52"/>
      <c r="AY647" s="52"/>
    </row>
    <row r="648" spans="48:51" s="16" customFormat="1" x14ac:dyDescent="0.2">
      <c r="AV648" s="52"/>
      <c r="AY648" s="52"/>
    </row>
    <row r="649" spans="48:51" s="16" customFormat="1" x14ac:dyDescent="0.2">
      <c r="AV649" s="52"/>
      <c r="AY649" s="52"/>
    </row>
    <row r="650" spans="48:51" s="16" customFormat="1" x14ac:dyDescent="0.2">
      <c r="AV650" s="52"/>
      <c r="AY650" s="52"/>
    </row>
    <row r="651" spans="48:51" s="16" customFormat="1" x14ac:dyDescent="0.2">
      <c r="AV651" s="52"/>
      <c r="AY651" s="52"/>
    </row>
    <row r="652" spans="48:51" s="16" customFormat="1" x14ac:dyDescent="0.2">
      <c r="AV652" s="52"/>
      <c r="AY652" s="52"/>
    </row>
    <row r="653" spans="48:51" s="16" customFormat="1" x14ac:dyDescent="0.2">
      <c r="AV653" s="52"/>
      <c r="AY653" s="52"/>
    </row>
    <row r="654" spans="48:51" s="16" customFormat="1" x14ac:dyDescent="0.2">
      <c r="AV654" s="52"/>
      <c r="AY654" s="52"/>
    </row>
    <row r="655" spans="48:51" s="16" customFormat="1" x14ac:dyDescent="0.2">
      <c r="AV655" s="52"/>
      <c r="AY655" s="52"/>
    </row>
    <row r="656" spans="48:51" s="16" customFormat="1" x14ac:dyDescent="0.2">
      <c r="AV656" s="52"/>
      <c r="AY656" s="52"/>
    </row>
    <row r="657" spans="48:51" s="16" customFormat="1" x14ac:dyDescent="0.2">
      <c r="AV657" s="52"/>
      <c r="AY657" s="52"/>
    </row>
    <row r="658" spans="48:51" s="16" customFormat="1" x14ac:dyDescent="0.2">
      <c r="AV658" s="52"/>
      <c r="AY658" s="52"/>
    </row>
    <row r="659" spans="48:51" s="16" customFormat="1" x14ac:dyDescent="0.2">
      <c r="AV659" s="52"/>
      <c r="AY659" s="52"/>
    </row>
    <row r="660" spans="48:51" s="16" customFormat="1" x14ac:dyDescent="0.2">
      <c r="AV660" s="52"/>
      <c r="AY660" s="52"/>
    </row>
    <row r="661" spans="48:51" s="16" customFormat="1" x14ac:dyDescent="0.2">
      <c r="AV661" s="52"/>
      <c r="AY661" s="52"/>
    </row>
    <row r="662" spans="48:51" s="16" customFormat="1" x14ac:dyDescent="0.2">
      <c r="AV662" s="52"/>
      <c r="AY662" s="52"/>
    </row>
    <row r="663" spans="48:51" s="16" customFormat="1" x14ac:dyDescent="0.2">
      <c r="AV663" s="52"/>
      <c r="AY663" s="52"/>
    </row>
    <row r="664" spans="48:51" s="16" customFormat="1" x14ac:dyDescent="0.2">
      <c r="AV664" s="52"/>
      <c r="AY664" s="52"/>
    </row>
    <row r="665" spans="48:51" s="16" customFormat="1" x14ac:dyDescent="0.2">
      <c r="AV665" s="52"/>
      <c r="AY665" s="52"/>
    </row>
    <row r="666" spans="48:51" s="16" customFormat="1" x14ac:dyDescent="0.2">
      <c r="AV666" s="52"/>
      <c r="AY666" s="52"/>
    </row>
    <row r="667" spans="48:51" s="16" customFormat="1" x14ac:dyDescent="0.2">
      <c r="AV667" s="52"/>
      <c r="AY667" s="52"/>
    </row>
    <row r="668" spans="48:51" s="16" customFormat="1" x14ac:dyDescent="0.2">
      <c r="AV668" s="52"/>
      <c r="AY668" s="52"/>
    </row>
    <row r="669" spans="48:51" s="16" customFormat="1" x14ac:dyDescent="0.2">
      <c r="AV669" s="52"/>
      <c r="AY669" s="52"/>
    </row>
    <row r="670" spans="48:51" s="16" customFormat="1" x14ac:dyDescent="0.2">
      <c r="AV670" s="52"/>
      <c r="AY670" s="52"/>
    </row>
    <row r="671" spans="48:51" s="16" customFormat="1" x14ac:dyDescent="0.2">
      <c r="AV671" s="52"/>
      <c r="AY671" s="52"/>
    </row>
    <row r="672" spans="48:51" s="16" customFormat="1" x14ac:dyDescent="0.2">
      <c r="AV672" s="52"/>
      <c r="AY672" s="52"/>
    </row>
    <row r="673" spans="48:51" s="16" customFormat="1" x14ac:dyDescent="0.2">
      <c r="AV673" s="52"/>
      <c r="AY673" s="52"/>
    </row>
    <row r="674" spans="48:51" s="16" customFormat="1" x14ac:dyDescent="0.2">
      <c r="AV674" s="52"/>
      <c r="AY674" s="52"/>
    </row>
    <row r="675" spans="48:51" s="16" customFormat="1" x14ac:dyDescent="0.2">
      <c r="AV675" s="52"/>
      <c r="AY675" s="52"/>
    </row>
    <row r="676" spans="48:51" s="16" customFormat="1" x14ac:dyDescent="0.2">
      <c r="AV676" s="52"/>
      <c r="AY676" s="52"/>
    </row>
    <row r="677" spans="48:51" s="16" customFormat="1" x14ac:dyDescent="0.2">
      <c r="AV677" s="52"/>
      <c r="AY677" s="52"/>
    </row>
    <row r="678" spans="48:51" s="16" customFormat="1" x14ac:dyDescent="0.2">
      <c r="AV678" s="52"/>
      <c r="AY678" s="52"/>
    </row>
    <row r="679" spans="48:51" s="16" customFormat="1" x14ac:dyDescent="0.2">
      <c r="AV679" s="52"/>
      <c r="AY679" s="52"/>
    </row>
    <row r="680" spans="48:51" s="16" customFormat="1" x14ac:dyDescent="0.2">
      <c r="AV680" s="52"/>
      <c r="AY680" s="52"/>
    </row>
    <row r="681" spans="48:51" s="16" customFormat="1" x14ac:dyDescent="0.2">
      <c r="AV681" s="52"/>
      <c r="AY681" s="52"/>
    </row>
    <row r="682" spans="48:51" s="16" customFormat="1" x14ac:dyDescent="0.2">
      <c r="AV682" s="52"/>
      <c r="AY682" s="52"/>
    </row>
    <row r="683" spans="48:51" s="16" customFormat="1" x14ac:dyDescent="0.2">
      <c r="AV683" s="52"/>
      <c r="AY683" s="52"/>
    </row>
    <row r="684" spans="48:51" s="16" customFormat="1" x14ac:dyDescent="0.2">
      <c r="AV684" s="52"/>
      <c r="AY684" s="52"/>
    </row>
    <row r="685" spans="48:51" s="16" customFormat="1" x14ac:dyDescent="0.2">
      <c r="AV685" s="52"/>
      <c r="AY685" s="52"/>
    </row>
    <row r="686" spans="48:51" s="16" customFormat="1" x14ac:dyDescent="0.2">
      <c r="AV686" s="52"/>
      <c r="AY686" s="52"/>
    </row>
    <row r="687" spans="48:51" s="16" customFormat="1" x14ac:dyDescent="0.2">
      <c r="AV687" s="52"/>
      <c r="AY687" s="52"/>
    </row>
    <row r="688" spans="48:51" s="16" customFormat="1" x14ac:dyDescent="0.2">
      <c r="AV688" s="52"/>
      <c r="AY688" s="52"/>
    </row>
    <row r="689" spans="48:51" s="16" customFormat="1" x14ac:dyDescent="0.2">
      <c r="AV689" s="52"/>
      <c r="AY689" s="52"/>
    </row>
    <row r="690" spans="48:51" s="16" customFormat="1" x14ac:dyDescent="0.2">
      <c r="AV690" s="52"/>
      <c r="AY690" s="52"/>
    </row>
    <row r="691" spans="48:51" s="16" customFormat="1" x14ac:dyDescent="0.2">
      <c r="AV691" s="52"/>
      <c r="AY691" s="52"/>
    </row>
    <row r="692" spans="48:51" s="16" customFormat="1" x14ac:dyDescent="0.2">
      <c r="AV692" s="52"/>
      <c r="AY692" s="52"/>
    </row>
    <row r="693" spans="48:51" s="16" customFormat="1" x14ac:dyDescent="0.2">
      <c r="AV693" s="52"/>
      <c r="AY693" s="52"/>
    </row>
    <row r="694" spans="48:51" s="16" customFormat="1" x14ac:dyDescent="0.2">
      <c r="AV694" s="52"/>
      <c r="AY694" s="52"/>
    </row>
    <row r="695" spans="48:51" s="16" customFormat="1" x14ac:dyDescent="0.2">
      <c r="AV695" s="52"/>
      <c r="AY695" s="52"/>
    </row>
    <row r="696" spans="48:51" s="16" customFormat="1" x14ac:dyDescent="0.2">
      <c r="AV696" s="52"/>
      <c r="AY696" s="52"/>
    </row>
    <row r="697" spans="48:51" s="16" customFormat="1" x14ac:dyDescent="0.2">
      <c r="AV697" s="52"/>
      <c r="AY697" s="52"/>
    </row>
    <row r="698" spans="48:51" s="16" customFormat="1" x14ac:dyDescent="0.2">
      <c r="AV698" s="52"/>
      <c r="AY698" s="52"/>
    </row>
    <row r="699" spans="48:51" s="16" customFormat="1" x14ac:dyDescent="0.2">
      <c r="AV699" s="52"/>
      <c r="AY699" s="52"/>
    </row>
    <row r="700" spans="48:51" s="16" customFormat="1" x14ac:dyDescent="0.2">
      <c r="AV700" s="52"/>
      <c r="AY700" s="52"/>
    </row>
    <row r="701" spans="48:51" s="16" customFormat="1" x14ac:dyDescent="0.2">
      <c r="AV701" s="52"/>
      <c r="AY701" s="52"/>
    </row>
    <row r="702" spans="48:51" s="16" customFormat="1" x14ac:dyDescent="0.2">
      <c r="AV702" s="52"/>
      <c r="AY702" s="52"/>
    </row>
    <row r="703" spans="48:51" s="16" customFormat="1" x14ac:dyDescent="0.2">
      <c r="AV703" s="52"/>
      <c r="AY703" s="52"/>
    </row>
    <row r="704" spans="48:51" s="16" customFormat="1" x14ac:dyDescent="0.2">
      <c r="AV704" s="52"/>
      <c r="AY704" s="52"/>
    </row>
    <row r="705" spans="48:51" s="16" customFormat="1" x14ac:dyDescent="0.2">
      <c r="AV705" s="52"/>
      <c r="AY705" s="52"/>
    </row>
    <row r="706" spans="48:51" s="16" customFormat="1" x14ac:dyDescent="0.2">
      <c r="AV706" s="52"/>
      <c r="AY706" s="52"/>
    </row>
    <row r="707" spans="48:51" s="16" customFormat="1" x14ac:dyDescent="0.2">
      <c r="AV707" s="52"/>
      <c r="AY707" s="52"/>
    </row>
    <row r="708" spans="48:51" s="16" customFormat="1" x14ac:dyDescent="0.2">
      <c r="AV708" s="52"/>
      <c r="AY708" s="52"/>
    </row>
    <row r="709" spans="48:51" s="16" customFormat="1" x14ac:dyDescent="0.2">
      <c r="AV709" s="52"/>
      <c r="AY709" s="52"/>
    </row>
    <row r="710" spans="48:51" s="16" customFormat="1" x14ac:dyDescent="0.2">
      <c r="AV710" s="52"/>
      <c r="AY710" s="52"/>
    </row>
    <row r="711" spans="48:51" s="16" customFormat="1" x14ac:dyDescent="0.2">
      <c r="AV711" s="52"/>
      <c r="AY711" s="52"/>
    </row>
    <row r="712" spans="48:51" s="16" customFormat="1" x14ac:dyDescent="0.2">
      <c r="AV712" s="52"/>
      <c r="AY712" s="52"/>
    </row>
    <row r="713" spans="48:51" s="16" customFormat="1" x14ac:dyDescent="0.2">
      <c r="AV713" s="52"/>
      <c r="AY713" s="52"/>
    </row>
    <row r="714" spans="48:51" s="16" customFormat="1" x14ac:dyDescent="0.2">
      <c r="AV714" s="52"/>
      <c r="AY714" s="52"/>
    </row>
    <row r="715" spans="48:51" s="16" customFormat="1" x14ac:dyDescent="0.2">
      <c r="AV715" s="52"/>
      <c r="AY715" s="52"/>
    </row>
    <row r="716" spans="48:51" s="16" customFormat="1" x14ac:dyDescent="0.2">
      <c r="AV716" s="52"/>
      <c r="AY716" s="52"/>
    </row>
    <row r="717" spans="48:51" s="16" customFormat="1" x14ac:dyDescent="0.2">
      <c r="AV717" s="52"/>
      <c r="AY717" s="52"/>
    </row>
    <row r="718" spans="48:51" s="16" customFormat="1" x14ac:dyDescent="0.2">
      <c r="AV718" s="52"/>
      <c r="AY718" s="52"/>
    </row>
    <row r="719" spans="48:51" s="16" customFormat="1" x14ac:dyDescent="0.2">
      <c r="AV719" s="52"/>
      <c r="AY719" s="52"/>
    </row>
    <row r="720" spans="48:51" s="16" customFormat="1" x14ac:dyDescent="0.2">
      <c r="AV720" s="52"/>
      <c r="AY720" s="52"/>
    </row>
    <row r="721" spans="48:51" s="16" customFormat="1" x14ac:dyDescent="0.2">
      <c r="AV721" s="52"/>
      <c r="AY721" s="52"/>
    </row>
    <row r="722" spans="48:51" s="16" customFormat="1" x14ac:dyDescent="0.2">
      <c r="AV722" s="52"/>
      <c r="AY722" s="52"/>
    </row>
    <row r="723" spans="48:51" s="16" customFormat="1" x14ac:dyDescent="0.2">
      <c r="AV723" s="52"/>
      <c r="AY723" s="52"/>
    </row>
    <row r="724" spans="48:51" s="16" customFormat="1" x14ac:dyDescent="0.2">
      <c r="AV724" s="52"/>
      <c r="AY724" s="52"/>
    </row>
    <row r="725" spans="48:51" s="16" customFormat="1" x14ac:dyDescent="0.2">
      <c r="AV725" s="52"/>
      <c r="AY725" s="52"/>
    </row>
    <row r="726" spans="48:51" s="16" customFormat="1" x14ac:dyDescent="0.2">
      <c r="AV726" s="52"/>
      <c r="AY726" s="52"/>
    </row>
    <row r="727" spans="48:51" s="16" customFormat="1" x14ac:dyDescent="0.2">
      <c r="AV727" s="52"/>
      <c r="AY727" s="52"/>
    </row>
    <row r="728" spans="48:51" s="16" customFormat="1" x14ac:dyDescent="0.2">
      <c r="AV728" s="52"/>
      <c r="AY728" s="52"/>
    </row>
    <row r="729" spans="48:51" s="16" customFormat="1" x14ac:dyDescent="0.2">
      <c r="AV729" s="52"/>
      <c r="AY729" s="52"/>
    </row>
    <row r="730" spans="48:51" s="16" customFormat="1" x14ac:dyDescent="0.2">
      <c r="AV730" s="52"/>
      <c r="AY730" s="52"/>
    </row>
    <row r="731" spans="48:51" s="16" customFormat="1" x14ac:dyDescent="0.2">
      <c r="AV731" s="52"/>
      <c r="AY731" s="52"/>
    </row>
    <row r="732" spans="48:51" s="16" customFormat="1" x14ac:dyDescent="0.2">
      <c r="AV732" s="52"/>
      <c r="AY732" s="52"/>
    </row>
    <row r="733" spans="48:51" s="16" customFormat="1" x14ac:dyDescent="0.2">
      <c r="AV733" s="52"/>
      <c r="AY733" s="52"/>
    </row>
    <row r="734" spans="48:51" s="16" customFormat="1" x14ac:dyDescent="0.2">
      <c r="AV734" s="52"/>
      <c r="AY734" s="52"/>
    </row>
    <row r="735" spans="48:51" s="16" customFormat="1" x14ac:dyDescent="0.2">
      <c r="AV735" s="52"/>
      <c r="AY735" s="52"/>
    </row>
    <row r="736" spans="48:51" s="16" customFormat="1" x14ac:dyDescent="0.2">
      <c r="AV736" s="52"/>
      <c r="AY736" s="52"/>
    </row>
    <row r="737" spans="48:51" s="16" customFormat="1" x14ac:dyDescent="0.2">
      <c r="AV737" s="52"/>
      <c r="AY737" s="52"/>
    </row>
    <row r="738" spans="48:51" s="16" customFormat="1" x14ac:dyDescent="0.2">
      <c r="AV738" s="52"/>
      <c r="AY738" s="52"/>
    </row>
    <row r="739" spans="48:51" s="16" customFormat="1" x14ac:dyDescent="0.2">
      <c r="AV739" s="52"/>
      <c r="AY739" s="52"/>
    </row>
    <row r="740" spans="48:51" s="16" customFormat="1" x14ac:dyDescent="0.2">
      <c r="AV740" s="52"/>
      <c r="AY740" s="52"/>
    </row>
    <row r="741" spans="48:51" s="16" customFormat="1" x14ac:dyDescent="0.2">
      <c r="AV741" s="52"/>
      <c r="AY741" s="52"/>
    </row>
    <row r="742" spans="48:51" s="16" customFormat="1" x14ac:dyDescent="0.2">
      <c r="AV742" s="52"/>
      <c r="AY742" s="52"/>
    </row>
    <row r="743" spans="48:51" s="16" customFormat="1" x14ac:dyDescent="0.2">
      <c r="AV743" s="52"/>
      <c r="AY743" s="52"/>
    </row>
    <row r="744" spans="48:51" s="16" customFormat="1" x14ac:dyDescent="0.2">
      <c r="AV744" s="52"/>
      <c r="AY744" s="52"/>
    </row>
    <row r="745" spans="48:51" s="16" customFormat="1" x14ac:dyDescent="0.2">
      <c r="AV745" s="52"/>
      <c r="AY745" s="52"/>
    </row>
    <row r="746" spans="48:51" s="16" customFormat="1" x14ac:dyDescent="0.2">
      <c r="AV746" s="52"/>
      <c r="AY746" s="52"/>
    </row>
    <row r="747" spans="48:51" s="16" customFormat="1" x14ac:dyDescent="0.2">
      <c r="AV747" s="52"/>
      <c r="AY747" s="52"/>
    </row>
    <row r="748" spans="48:51" s="16" customFormat="1" x14ac:dyDescent="0.2">
      <c r="AV748" s="52"/>
      <c r="AY748" s="52"/>
    </row>
    <row r="749" spans="48:51" s="16" customFormat="1" x14ac:dyDescent="0.2">
      <c r="AV749" s="52"/>
      <c r="AY749" s="52"/>
    </row>
    <row r="750" spans="48:51" s="16" customFormat="1" x14ac:dyDescent="0.2">
      <c r="AV750" s="52"/>
      <c r="AY750" s="52"/>
    </row>
    <row r="751" spans="48:51" s="16" customFormat="1" x14ac:dyDescent="0.2">
      <c r="AV751" s="52"/>
      <c r="AY751" s="52"/>
    </row>
    <row r="752" spans="48:51" s="16" customFormat="1" x14ac:dyDescent="0.2">
      <c r="AV752" s="52"/>
      <c r="AY752" s="52"/>
    </row>
    <row r="753" spans="48:51" s="16" customFormat="1" x14ac:dyDescent="0.2">
      <c r="AV753" s="52"/>
      <c r="AY753" s="52"/>
    </row>
    <row r="754" spans="48:51" s="16" customFormat="1" x14ac:dyDescent="0.2">
      <c r="AV754" s="52"/>
      <c r="AY754" s="52"/>
    </row>
    <row r="755" spans="48:51" s="16" customFormat="1" x14ac:dyDescent="0.2">
      <c r="AV755" s="52"/>
      <c r="AY755" s="52"/>
    </row>
    <row r="756" spans="48:51" s="16" customFormat="1" x14ac:dyDescent="0.2">
      <c r="AV756" s="52"/>
      <c r="AY756" s="52"/>
    </row>
    <row r="757" spans="48:51" s="16" customFormat="1" x14ac:dyDescent="0.2">
      <c r="AV757" s="52"/>
      <c r="AY757" s="52"/>
    </row>
    <row r="758" spans="48:51" s="16" customFormat="1" x14ac:dyDescent="0.2">
      <c r="AV758" s="52"/>
      <c r="AY758" s="52"/>
    </row>
    <row r="759" spans="48:51" s="16" customFormat="1" x14ac:dyDescent="0.2">
      <c r="AV759" s="52"/>
      <c r="AY759" s="52"/>
    </row>
    <row r="760" spans="48:51" s="16" customFormat="1" x14ac:dyDescent="0.2">
      <c r="AV760" s="52"/>
      <c r="AY760" s="52"/>
    </row>
    <row r="761" spans="48:51" s="16" customFormat="1" x14ac:dyDescent="0.2">
      <c r="AV761" s="52"/>
      <c r="AY761" s="52"/>
    </row>
    <row r="762" spans="48:51" s="16" customFormat="1" x14ac:dyDescent="0.2">
      <c r="AV762" s="52"/>
      <c r="AY762" s="52"/>
    </row>
    <row r="763" spans="48:51" s="16" customFormat="1" x14ac:dyDescent="0.2">
      <c r="AV763" s="52"/>
      <c r="AY763" s="52"/>
    </row>
    <row r="764" spans="48:51" s="16" customFormat="1" x14ac:dyDescent="0.2">
      <c r="AV764" s="52"/>
      <c r="AY764" s="52"/>
    </row>
    <row r="765" spans="48:51" s="16" customFormat="1" x14ac:dyDescent="0.2">
      <c r="AV765" s="52"/>
      <c r="AY765" s="52"/>
    </row>
    <row r="766" spans="48:51" s="16" customFormat="1" x14ac:dyDescent="0.2">
      <c r="AV766" s="52"/>
      <c r="AY766" s="52"/>
    </row>
    <row r="767" spans="48:51" s="16" customFormat="1" x14ac:dyDescent="0.2">
      <c r="AV767" s="52"/>
      <c r="AY767" s="52"/>
    </row>
    <row r="768" spans="48:51" s="16" customFormat="1" x14ac:dyDescent="0.2">
      <c r="AV768" s="52"/>
      <c r="AY768" s="52"/>
    </row>
    <row r="769" spans="48:51" s="16" customFormat="1" x14ac:dyDescent="0.2">
      <c r="AV769" s="52"/>
      <c r="AY769" s="52"/>
    </row>
    <row r="770" spans="48:51" s="16" customFormat="1" x14ac:dyDescent="0.2">
      <c r="AV770" s="52"/>
      <c r="AY770" s="52"/>
    </row>
    <row r="771" spans="48:51" s="16" customFormat="1" x14ac:dyDescent="0.2">
      <c r="AV771" s="52"/>
      <c r="AY771" s="52"/>
    </row>
    <row r="772" spans="48:51" s="16" customFormat="1" x14ac:dyDescent="0.2">
      <c r="AV772" s="52"/>
      <c r="AY772" s="52"/>
    </row>
    <row r="773" spans="48:51" s="16" customFormat="1" x14ac:dyDescent="0.2">
      <c r="AV773" s="52"/>
      <c r="AY773" s="52"/>
    </row>
    <row r="774" spans="48:51" s="16" customFormat="1" x14ac:dyDescent="0.2">
      <c r="AV774" s="52"/>
      <c r="AY774" s="52"/>
    </row>
    <row r="775" spans="48:51" s="16" customFormat="1" x14ac:dyDescent="0.2">
      <c r="AV775" s="52"/>
      <c r="AY775" s="52"/>
    </row>
    <row r="776" spans="48:51" s="16" customFormat="1" x14ac:dyDescent="0.2">
      <c r="AV776" s="52"/>
      <c r="AY776" s="52"/>
    </row>
    <row r="777" spans="48:51" s="16" customFormat="1" x14ac:dyDescent="0.2">
      <c r="AV777" s="52"/>
      <c r="AY777" s="52"/>
    </row>
    <row r="778" spans="48:51" s="16" customFormat="1" x14ac:dyDescent="0.2">
      <c r="AV778" s="52"/>
      <c r="AY778" s="52"/>
    </row>
    <row r="779" spans="48:51" s="16" customFormat="1" x14ac:dyDescent="0.2">
      <c r="AV779" s="52"/>
      <c r="AY779" s="52"/>
    </row>
    <row r="780" spans="48:51" s="16" customFormat="1" x14ac:dyDescent="0.2">
      <c r="AV780" s="52"/>
      <c r="AY780" s="52"/>
    </row>
    <row r="781" spans="48:51" s="16" customFormat="1" x14ac:dyDescent="0.2">
      <c r="AV781" s="52"/>
      <c r="AY781" s="52"/>
    </row>
    <row r="782" spans="48:51" s="16" customFormat="1" x14ac:dyDescent="0.2">
      <c r="AV782" s="52"/>
      <c r="AY782" s="52"/>
    </row>
    <row r="783" spans="48:51" s="16" customFormat="1" x14ac:dyDescent="0.2">
      <c r="AV783" s="52"/>
      <c r="AY783" s="52"/>
    </row>
    <row r="784" spans="48:51" s="16" customFormat="1" x14ac:dyDescent="0.2">
      <c r="AV784" s="52"/>
      <c r="AY784" s="52"/>
    </row>
    <row r="785" spans="48:51" s="16" customFormat="1" x14ac:dyDescent="0.2">
      <c r="AV785" s="52"/>
      <c r="AY785" s="52"/>
    </row>
    <row r="786" spans="48:51" s="16" customFormat="1" x14ac:dyDescent="0.2">
      <c r="AV786" s="52"/>
      <c r="AY786" s="52"/>
    </row>
    <row r="787" spans="48:51" s="16" customFormat="1" x14ac:dyDescent="0.2">
      <c r="AV787" s="52"/>
      <c r="AY787" s="52"/>
    </row>
    <row r="788" spans="48:51" s="16" customFormat="1" x14ac:dyDescent="0.2">
      <c r="AV788" s="52"/>
      <c r="AY788" s="52"/>
    </row>
    <row r="789" spans="48:51" s="16" customFormat="1" x14ac:dyDescent="0.2">
      <c r="AV789" s="52"/>
      <c r="AY789" s="52"/>
    </row>
    <row r="790" spans="48:51" s="16" customFormat="1" x14ac:dyDescent="0.2">
      <c r="AV790" s="52"/>
      <c r="AY790" s="52"/>
    </row>
    <row r="791" spans="48:51" s="16" customFormat="1" x14ac:dyDescent="0.2">
      <c r="AV791" s="52"/>
      <c r="AY791" s="52"/>
    </row>
    <row r="792" spans="48:51" s="16" customFormat="1" x14ac:dyDescent="0.2">
      <c r="AV792" s="52"/>
      <c r="AY792" s="52"/>
    </row>
    <row r="793" spans="48:51" s="16" customFormat="1" x14ac:dyDescent="0.2">
      <c r="AV793" s="52"/>
      <c r="AY793" s="52"/>
    </row>
    <row r="794" spans="48:51" s="16" customFormat="1" x14ac:dyDescent="0.2">
      <c r="AV794" s="52"/>
      <c r="AY794" s="52"/>
    </row>
    <row r="795" spans="48:51" s="16" customFormat="1" x14ac:dyDescent="0.2">
      <c r="AV795" s="52"/>
      <c r="AY795" s="52"/>
    </row>
    <row r="796" spans="48:51" s="16" customFormat="1" x14ac:dyDescent="0.2">
      <c r="AV796" s="52"/>
      <c r="AY796" s="52"/>
    </row>
    <row r="797" spans="48:51" s="16" customFormat="1" x14ac:dyDescent="0.2">
      <c r="AV797" s="52"/>
      <c r="AY797" s="52"/>
    </row>
    <row r="798" spans="48:51" s="16" customFormat="1" x14ac:dyDescent="0.2">
      <c r="AV798" s="52"/>
      <c r="AY798" s="52"/>
    </row>
    <row r="799" spans="48:51" s="16" customFormat="1" x14ac:dyDescent="0.2">
      <c r="AV799" s="52"/>
      <c r="AY799" s="52"/>
    </row>
    <row r="800" spans="48:51" s="16" customFormat="1" x14ac:dyDescent="0.2">
      <c r="AV800" s="52"/>
      <c r="AY800" s="52"/>
    </row>
    <row r="801" spans="48:51" s="16" customFormat="1" x14ac:dyDescent="0.2">
      <c r="AV801" s="52"/>
      <c r="AY801" s="52"/>
    </row>
    <row r="802" spans="48:51" s="16" customFormat="1" x14ac:dyDescent="0.2">
      <c r="AV802" s="52"/>
      <c r="AY802" s="52"/>
    </row>
    <row r="803" spans="48:51" s="16" customFormat="1" x14ac:dyDescent="0.2">
      <c r="AV803" s="52"/>
      <c r="AY803" s="52"/>
    </row>
    <row r="804" spans="48:51" s="16" customFormat="1" x14ac:dyDescent="0.2">
      <c r="AV804" s="52"/>
      <c r="AY804" s="52"/>
    </row>
    <row r="805" spans="48:51" s="16" customFormat="1" x14ac:dyDescent="0.2">
      <c r="AV805" s="52"/>
      <c r="AY805" s="52"/>
    </row>
    <row r="806" spans="48:51" s="16" customFormat="1" x14ac:dyDescent="0.2">
      <c r="AV806" s="52"/>
      <c r="AY806" s="52"/>
    </row>
    <row r="807" spans="48:51" s="16" customFormat="1" x14ac:dyDescent="0.2">
      <c r="AV807" s="52"/>
      <c r="AY807" s="52"/>
    </row>
    <row r="808" spans="48:51" s="16" customFormat="1" x14ac:dyDescent="0.2">
      <c r="AV808" s="52"/>
      <c r="AY808" s="52"/>
    </row>
    <row r="809" spans="48:51" s="16" customFormat="1" x14ac:dyDescent="0.2">
      <c r="AV809" s="52"/>
      <c r="AY809" s="52"/>
    </row>
    <row r="810" spans="48:51" s="16" customFormat="1" x14ac:dyDescent="0.2">
      <c r="AV810" s="52"/>
      <c r="AY810" s="52"/>
    </row>
    <row r="811" spans="48:51" s="16" customFormat="1" x14ac:dyDescent="0.2">
      <c r="AV811" s="52"/>
      <c r="AY811" s="52"/>
    </row>
    <row r="812" spans="48:51" s="16" customFormat="1" x14ac:dyDescent="0.2">
      <c r="AV812" s="52"/>
      <c r="AY812" s="52"/>
    </row>
    <row r="813" spans="48:51" s="16" customFormat="1" x14ac:dyDescent="0.2">
      <c r="AV813" s="52"/>
      <c r="AY813" s="52"/>
    </row>
    <row r="814" spans="48:51" s="16" customFormat="1" x14ac:dyDescent="0.2">
      <c r="AV814" s="52"/>
      <c r="AY814" s="52"/>
    </row>
    <row r="815" spans="48:51" s="16" customFormat="1" x14ac:dyDescent="0.2">
      <c r="AV815" s="52"/>
      <c r="AY815" s="52"/>
    </row>
    <row r="816" spans="48:51" s="16" customFormat="1" x14ac:dyDescent="0.2">
      <c r="AV816" s="52"/>
      <c r="AY816" s="52"/>
    </row>
    <row r="817" spans="48:51" s="16" customFormat="1" x14ac:dyDescent="0.2">
      <c r="AV817" s="52"/>
      <c r="AY817" s="52"/>
    </row>
    <row r="818" spans="48:51" s="16" customFormat="1" x14ac:dyDescent="0.2">
      <c r="AV818" s="52"/>
      <c r="AY818" s="52"/>
    </row>
    <row r="819" spans="48:51" s="16" customFormat="1" x14ac:dyDescent="0.2">
      <c r="AV819" s="52"/>
      <c r="AY819" s="52"/>
    </row>
    <row r="820" spans="48:51" s="16" customFormat="1" x14ac:dyDescent="0.2">
      <c r="AV820" s="52"/>
      <c r="AY820" s="52"/>
    </row>
    <row r="821" spans="48:51" s="16" customFormat="1" x14ac:dyDescent="0.2">
      <c r="AV821" s="52"/>
      <c r="AY821" s="52"/>
    </row>
    <row r="822" spans="48:51" s="16" customFormat="1" x14ac:dyDescent="0.2">
      <c r="AV822" s="52"/>
      <c r="AY822" s="52"/>
    </row>
    <row r="823" spans="48:51" s="16" customFormat="1" x14ac:dyDescent="0.2">
      <c r="AV823" s="52"/>
      <c r="AY823" s="52"/>
    </row>
    <row r="824" spans="48:51" s="16" customFormat="1" x14ac:dyDescent="0.2">
      <c r="AV824" s="52"/>
      <c r="AY824" s="52"/>
    </row>
    <row r="825" spans="48:51" s="16" customFormat="1" x14ac:dyDescent="0.2">
      <c r="AV825" s="52"/>
      <c r="AY825" s="52"/>
    </row>
    <row r="826" spans="48:51" s="16" customFormat="1" x14ac:dyDescent="0.2">
      <c r="AV826" s="52"/>
      <c r="AY826" s="52"/>
    </row>
    <row r="827" spans="48:51" s="16" customFormat="1" x14ac:dyDescent="0.2">
      <c r="AV827" s="52"/>
      <c r="AY827" s="52"/>
    </row>
    <row r="828" spans="48:51" s="16" customFormat="1" x14ac:dyDescent="0.2">
      <c r="AV828" s="52"/>
      <c r="AY828" s="52"/>
    </row>
    <row r="829" spans="48:51" s="16" customFormat="1" x14ac:dyDescent="0.2">
      <c r="AV829" s="52"/>
      <c r="AY829" s="52"/>
    </row>
    <row r="830" spans="48:51" s="16" customFormat="1" x14ac:dyDescent="0.2">
      <c r="AV830" s="52"/>
      <c r="AY830" s="52"/>
    </row>
    <row r="831" spans="48:51" s="16" customFormat="1" x14ac:dyDescent="0.2">
      <c r="AV831" s="52"/>
      <c r="AY831" s="52"/>
    </row>
    <row r="832" spans="48:51" s="16" customFormat="1" x14ac:dyDescent="0.2">
      <c r="AV832" s="52"/>
      <c r="AY832" s="52"/>
    </row>
    <row r="833" spans="48:51" s="16" customFormat="1" x14ac:dyDescent="0.2">
      <c r="AV833" s="52"/>
      <c r="AY833" s="52"/>
    </row>
    <row r="834" spans="48:51" s="16" customFormat="1" x14ac:dyDescent="0.2">
      <c r="AV834" s="52"/>
      <c r="AY834" s="52"/>
    </row>
    <row r="835" spans="48:51" s="16" customFormat="1" x14ac:dyDescent="0.2">
      <c r="AV835" s="52"/>
      <c r="AY835" s="52"/>
    </row>
    <row r="836" spans="48:51" s="16" customFormat="1" x14ac:dyDescent="0.2">
      <c r="AV836" s="52"/>
      <c r="AY836" s="52"/>
    </row>
    <row r="837" spans="48:51" s="16" customFormat="1" x14ac:dyDescent="0.2">
      <c r="AV837" s="52"/>
      <c r="AY837" s="52"/>
    </row>
    <row r="838" spans="48:51" s="16" customFormat="1" x14ac:dyDescent="0.2">
      <c r="AV838" s="52"/>
      <c r="AY838" s="52"/>
    </row>
    <row r="839" spans="48:51" s="16" customFormat="1" x14ac:dyDescent="0.2">
      <c r="AV839" s="52"/>
      <c r="AY839" s="52"/>
    </row>
    <row r="840" spans="48:51" s="16" customFormat="1" x14ac:dyDescent="0.2">
      <c r="AV840" s="52"/>
      <c r="AY840" s="52"/>
    </row>
    <row r="841" spans="48:51" s="16" customFormat="1" x14ac:dyDescent="0.2">
      <c r="AV841" s="52"/>
      <c r="AY841" s="52"/>
    </row>
    <row r="842" spans="48:51" s="16" customFormat="1" x14ac:dyDescent="0.2">
      <c r="AV842" s="52"/>
      <c r="AY842" s="52"/>
    </row>
    <row r="843" spans="48:51" s="16" customFormat="1" x14ac:dyDescent="0.2">
      <c r="AV843" s="52"/>
      <c r="AY843" s="52"/>
    </row>
    <row r="844" spans="48:51" s="16" customFormat="1" x14ac:dyDescent="0.2">
      <c r="AV844" s="52"/>
      <c r="AY844" s="52"/>
    </row>
    <row r="845" spans="48:51" s="16" customFormat="1" x14ac:dyDescent="0.2">
      <c r="AV845" s="52"/>
      <c r="AY845" s="52"/>
    </row>
    <row r="846" spans="48:51" s="16" customFormat="1" x14ac:dyDescent="0.2">
      <c r="AV846" s="52"/>
      <c r="AY846" s="52"/>
    </row>
    <row r="847" spans="48:51" s="16" customFormat="1" x14ac:dyDescent="0.2">
      <c r="AV847" s="52"/>
      <c r="AY847" s="52"/>
    </row>
    <row r="848" spans="48:51" s="16" customFormat="1" x14ac:dyDescent="0.2">
      <c r="AV848" s="52"/>
      <c r="AY848" s="52"/>
    </row>
    <row r="849" spans="48:51" s="16" customFormat="1" x14ac:dyDescent="0.2">
      <c r="AV849" s="52"/>
      <c r="AY849" s="52"/>
    </row>
    <row r="850" spans="48:51" s="16" customFormat="1" x14ac:dyDescent="0.2">
      <c r="AV850" s="52"/>
      <c r="AY850" s="52"/>
    </row>
    <row r="851" spans="48:51" s="16" customFormat="1" x14ac:dyDescent="0.2">
      <c r="AV851" s="52"/>
      <c r="AY851" s="52"/>
    </row>
    <row r="852" spans="48:51" s="16" customFormat="1" x14ac:dyDescent="0.2">
      <c r="AV852" s="52"/>
      <c r="AY852" s="52"/>
    </row>
    <row r="853" spans="48:51" s="16" customFormat="1" x14ac:dyDescent="0.2">
      <c r="AV853" s="52"/>
      <c r="AY853" s="52"/>
    </row>
    <row r="854" spans="48:51" s="16" customFormat="1" x14ac:dyDescent="0.2">
      <c r="AV854" s="52"/>
      <c r="AY854" s="52"/>
    </row>
    <row r="855" spans="48:51" s="16" customFormat="1" x14ac:dyDescent="0.2">
      <c r="AV855" s="52"/>
      <c r="AY855" s="52"/>
    </row>
    <row r="856" spans="48:51" s="16" customFormat="1" x14ac:dyDescent="0.2">
      <c r="AV856" s="52"/>
      <c r="AY856" s="52"/>
    </row>
    <row r="857" spans="48:51" s="16" customFormat="1" x14ac:dyDescent="0.2">
      <c r="AV857" s="52"/>
      <c r="AY857" s="52"/>
    </row>
    <row r="858" spans="48:51" s="16" customFormat="1" x14ac:dyDescent="0.2">
      <c r="AV858" s="52"/>
      <c r="AY858" s="52"/>
    </row>
    <row r="859" spans="48:51" s="16" customFormat="1" x14ac:dyDescent="0.2">
      <c r="AV859" s="52"/>
      <c r="AY859" s="52"/>
    </row>
    <row r="860" spans="48:51" s="16" customFormat="1" x14ac:dyDescent="0.2">
      <c r="AV860" s="52"/>
      <c r="AY860" s="52"/>
    </row>
    <row r="861" spans="48:51" s="16" customFormat="1" x14ac:dyDescent="0.2">
      <c r="AV861" s="52"/>
      <c r="AY861" s="52"/>
    </row>
    <row r="862" spans="48:51" s="16" customFormat="1" x14ac:dyDescent="0.2">
      <c r="AV862" s="52"/>
      <c r="AY862" s="52"/>
    </row>
    <row r="863" spans="48:51" s="16" customFormat="1" x14ac:dyDescent="0.2">
      <c r="AV863" s="52"/>
      <c r="AY863" s="52"/>
    </row>
    <row r="864" spans="48:51" s="16" customFormat="1" x14ac:dyDescent="0.2">
      <c r="AV864" s="52"/>
      <c r="AY864" s="52"/>
    </row>
    <row r="865" spans="48:51" s="16" customFormat="1" x14ac:dyDescent="0.2">
      <c r="AV865" s="52"/>
      <c r="AY865" s="52"/>
    </row>
    <row r="866" spans="48:51" s="16" customFormat="1" x14ac:dyDescent="0.2">
      <c r="AV866" s="52"/>
      <c r="AY866" s="52"/>
    </row>
    <row r="867" spans="48:51" s="16" customFormat="1" x14ac:dyDescent="0.2">
      <c r="AV867" s="52"/>
      <c r="AY867" s="52"/>
    </row>
    <row r="868" spans="48:51" s="16" customFormat="1" x14ac:dyDescent="0.2">
      <c r="AV868" s="52"/>
      <c r="AY868" s="52"/>
    </row>
    <row r="869" spans="48:51" s="16" customFormat="1" x14ac:dyDescent="0.2">
      <c r="AV869" s="52"/>
      <c r="AY869" s="52"/>
    </row>
    <row r="870" spans="48:51" s="16" customFormat="1" x14ac:dyDescent="0.2">
      <c r="AV870" s="52"/>
      <c r="AY870" s="52"/>
    </row>
    <row r="871" spans="48:51" s="16" customFormat="1" x14ac:dyDescent="0.2">
      <c r="AV871" s="52"/>
      <c r="AY871" s="52"/>
    </row>
    <row r="872" spans="48:51" s="16" customFormat="1" x14ac:dyDescent="0.2">
      <c r="AV872" s="52"/>
      <c r="AY872" s="52"/>
    </row>
    <row r="873" spans="48:51" s="16" customFormat="1" x14ac:dyDescent="0.2">
      <c r="AV873" s="52"/>
      <c r="AY873" s="52"/>
    </row>
    <row r="874" spans="48:51" s="16" customFormat="1" x14ac:dyDescent="0.2">
      <c r="AV874" s="52"/>
      <c r="AY874" s="52"/>
    </row>
    <row r="875" spans="48:51" s="16" customFormat="1" x14ac:dyDescent="0.2">
      <c r="AV875" s="52"/>
      <c r="AY875" s="52"/>
    </row>
    <row r="876" spans="48:51" s="16" customFormat="1" x14ac:dyDescent="0.2">
      <c r="AV876" s="52"/>
      <c r="AY876" s="52"/>
    </row>
    <row r="877" spans="48:51" s="16" customFormat="1" x14ac:dyDescent="0.2">
      <c r="AV877" s="52"/>
      <c r="AY877" s="52"/>
    </row>
    <row r="878" spans="48:51" s="16" customFormat="1" x14ac:dyDescent="0.2">
      <c r="AV878" s="52"/>
      <c r="AY878" s="52"/>
    </row>
    <row r="879" spans="48:51" s="16" customFormat="1" x14ac:dyDescent="0.2">
      <c r="AV879" s="52"/>
      <c r="AY879" s="52"/>
    </row>
    <row r="880" spans="48:51" s="16" customFormat="1" x14ac:dyDescent="0.2">
      <c r="AV880" s="52"/>
      <c r="AY880" s="52"/>
    </row>
    <row r="881" spans="48:51" s="16" customFormat="1" x14ac:dyDescent="0.2">
      <c r="AV881" s="52"/>
      <c r="AY881" s="52"/>
    </row>
    <row r="882" spans="48:51" s="16" customFormat="1" x14ac:dyDescent="0.2">
      <c r="AV882" s="52"/>
      <c r="AY882" s="52"/>
    </row>
    <row r="883" spans="48:51" s="16" customFormat="1" x14ac:dyDescent="0.2">
      <c r="AV883" s="52"/>
      <c r="AY883" s="52"/>
    </row>
    <row r="884" spans="48:51" s="16" customFormat="1" x14ac:dyDescent="0.2">
      <c r="AV884" s="52"/>
      <c r="AY884" s="52"/>
    </row>
    <row r="885" spans="48:51" s="16" customFormat="1" x14ac:dyDescent="0.2">
      <c r="AV885" s="52"/>
      <c r="AY885" s="52"/>
    </row>
    <row r="886" spans="48:51" s="16" customFormat="1" x14ac:dyDescent="0.2">
      <c r="AV886" s="52"/>
      <c r="AY886" s="52"/>
    </row>
    <row r="887" spans="48:51" s="16" customFormat="1" x14ac:dyDescent="0.2">
      <c r="AV887" s="52"/>
      <c r="AY887" s="52"/>
    </row>
    <row r="888" spans="48:51" s="16" customFormat="1" x14ac:dyDescent="0.2">
      <c r="AV888" s="52"/>
      <c r="AY888" s="52"/>
    </row>
    <row r="889" spans="48:51" s="16" customFormat="1" x14ac:dyDescent="0.2">
      <c r="AV889" s="52"/>
      <c r="AY889" s="52"/>
    </row>
    <row r="890" spans="48:51" s="16" customFormat="1" x14ac:dyDescent="0.2">
      <c r="AV890" s="52"/>
      <c r="AY890" s="52"/>
    </row>
    <row r="891" spans="48:51" s="16" customFormat="1" x14ac:dyDescent="0.2">
      <c r="AV891" s="52"/>
      <c r="AY891" s="52"/>
    </row>
    <row r="892" spans="48:51" s="16" customFormat="1" x14ac:dyDescent="0.2">
      <c r="AV892" s="52"/>
      <c r="AY892" s="52"/>
    </row>
    <row r="893" spans="48:51" s="16" customFormat="1" x14ac:dyDescent="0.2">
      <c r="AV893" s="52"/>
      <c r="AY893" s="52"/>
    </row>
    <row r="894" spans="48:51" s="16" customFormat="1" x14ac:dyDescent="0.2">
      <c r="AV894" s="52"/>
      <c r="AY894" s="52"/>
    </row>
    <row r="895" spans="48:51" s="16" customFormat="1" x14ac:dyDescent="0.2">
      <c r="AV895" s="52"/>
      <c r="AY895" s="52"/>
    </row>
    <row r="896" spans="48:51" s="16" customFormat="1" x14ac:dyDescent="0.2">
      <c r="AV896" s="52"/>
      <c r="AY896" s="52"/>
    </row>
    <row r="897" spans="48:51" s="16" customFormat="1" x14ac:dyDescent="0.2">
      <c r="AV897" s="52"/>
      <c r="AY897" s="52"/>
    </row>
    <row r="898" spans="48:51" s="16" customFormat="1" x14ac:dyDescent="0.2">
      <c r="AV898" s="52"/>
      <c r="AY898" s="52"/>
    </row>
    <row r="899" spans="48:51" s="16" customFormat="1" x14ac:dyDescent="0.2">
      <c r="AV899" s="52"/>
      <c r="AY899" s="52"/>
    </row>
    <row r="900" spans="48:51" s="16" customFormat="1" x14ac:dyDescent="0.2">
      <c r="AV900" s="52"/>
      <c r="AY900" s="52"/>
    </row>
    <row r="901" spans="48:51" s="16" customFormat="1" x14ac:dyDescent="0.2">
      <c r="AV901" s="52"/>
      <c r="AY901" s="52"/>
    </row>
    <row r="902" spans="48:51" s="16" customFormat="1" x14ac:dyDescent="0.2">
      <c r="AV902" s="52"/>
      <c r="AY902" s="52"/>
    </row>
    <row r="903" spans="48:51" s="16" customFormat="1" x14ac:dyDescent="0.2">
      <c r="AV903" s="52"/>
      <c r="AY903" s="52"/>
    </row>
    <row r="904" spans="48:51" s="16" customFormat="1" x14ac:dyDescent="0.2">
      <c r="AV904" s="52"/>
      <c r="AY904" s="52"/>
    </row>
    <row r="905" spans="48:51" s="16" customFormat="1" x14ac:dyDescent="0.2">
      <c r="AV905" s="52"/>
      <c r="AY905" s="52"/>
    </row>
    <row r="906" spans="48:51" s="16" customFormat="1" x14ac:dyDescent="0.2">
      <c r="AV906" s="52"/>
      <c r="AY906" s="52"/>
    </row>
    <row r="907" spans="48:51" s="16" customFormat="1" x14ac:dyDescent="0.2">
      <c r="AV907" s="52"/>
      <c r="AY907" s="52"/>
    </row>
    <row r="908" spans="48:51" s="16" customFormat="1" x14ac:dyDescent="0.2">
      <c r="AV908" s="52"/>
      <c r="AY908" s="52"/>
    </row>
    <row r="909" spans="48:51" s="16" customFormat="1" x14ac:dyDescent="0.2">
      <c r="AV909" s="52"/>
      <c r="AY909" s="52"/>
    </row>
    <row r="910" spans="48:51" s="16" customFormat="1" x14ac:dyDescent="0.2">
      <c r="AV910" s="52"/>
      <c r="AY910" s="52"/>
    </row>
    <row r="911" spans="48:51" s="16" customFormat="1" x14ac:dyDescent="0.2">
      <c r="AV911" s="52"/>
      <c r="AY911" s="52"/>
    </row>
    <row r="912" spans="48:51" s="16" customFormat="1" x14ac:dyDescent="0.2">
      <c r="AV912" s="52"/>
      <c r="AY912" s="52"/>
    </row>
    <row r="913" spans="48:51" s="16" customFormat="1" x14ac:dyDescent="0.2">
      <c r="AV913" s="52"/>
      <c r="AY913" s="52"/>
    </row>
    <row r="914" spans="48:51" s="16" customFormat="1" x14ac:dyDescent="0.2">
      <c r="AV914" s="52"/>
      <c r="AY914" s="52"/>
    </row>
    <row r="915" spans="48:51" s="16" customFormat="1" x14ac:dyDescent="0.2">
      <c r="AV915" s="52"/>
      <c r="AY915" s="52"/>
    </row>
    <row r="916" spans="48:51" s="16" customFormat="1" x14ac:dyDescent="0.2">
      <c r="AV916" s="52"/>
      <c r="AY916" s="52"/>
    </row>
    <row r="917" spans="48:51" s="16" customFormat="1" x14ac:dyDescent="0.2">
      <c r="AV917" s="52"/>
      <c r="AY917" s="52"/>
    </row>
    <row r="918" spans="48:51" s="16" customFormat="1" x14ac:dyDescent="0.2">
      <c r="AV918" s="52"/>
      <c r="AY918" s="52"/>
    </row>
    <row r="919" spans="48:51" s="16" customFormat="1" x14ac:dyDescent="0.2">
      <c r="AV919" s="52"/>
      <c r="AY919" s="52"/>
    </row>
    <row r="920" spans="48:51" s="16" customFormat="1" x14ac:dyDescent="0.2">
      <c r="AV920" s="52"/>
      <c r="AY920" s="52"/>
    </row>
    <row r="921" spans="48:51" s="16" customFormat="1" x14ac:dyDescent="0.2">
      <c r="AV921" s="52"/>
      <c r="AY921" s="52"/>
    </row>
    <row r="922" spans="48:51" s="16" customFormat="1" x14ac:dyDescent="0.2">
      <c r="AV922" s="52"/>
      <c r="AY922" s="52"/>
    </row>
    <row r="923" spans="48:51" s="16" customFormat="1" x14ac:dyDescent="0.2">
      <c r="AV923" s="52"/>
      <c r="AY923" s="52"/>
    </row>
    <row r="924" spans="48:51" s="16" customFormat="1" x14ac:dyDescent="0.2">
      <c r="AV924" s="52"/>
      <c r="AY924" s="52"/>
    </row>
    <row r="925" spans="48:51" s="16" customFormat="1" x14ac:dyDescent="0.2">
      <c r="AV925" s="52"/>
      <c r="AY925" s="52"/>
    </row>
    <row r="926" spans="48:51" s="16" customFormat="1" x14ac:dyDescent="0.2">
      <c r="AV926" s="52"/>
      <c r="AY926" s="52"/>
    </row>
    <row r="927" spans="48:51" s="16" customFormat="1" x14ac:dyDescent="0.2">
      <c r="AV927" s="52"/>
      <c r="AY927" s="52"/>
    </row>
    <row r="928" spans="48:51" s="16" customFormat="1" x14ac:dyDescent="0.2">
      <c r="AV928" s="52"/>
      <c r="AY928" s="52"/>
    </row>
    <row r="929" spans="48:51" s="16" customFormat="1" x14ac:dyDescent="0.2">
      <c r="AV929" s="52"/>
      <c r="AY929" s="52"/>
    </row>
    <row r="930" spans="48:51" s="16" customFormat="1" x14ac:dyDescent="0.2">
      <c r="AV930" s="52"/>
      <c r="AY930" s="52"/>
    </row>
    <row r="931" spans="48:51" s="16" customFormat="1" x14ac:dyDescent="0.2">
      <c r="AV931" s="52"/>
      <c r="AY931" s="52"/>
    </row>
    <row r="932" spans="48:51" s="16" customFormat="1" x14ac:dyDescent="0.2">
      <c r="AV932" s="52"/>
      <c r="AY932" s="52"/>
    </row>
    <row r="933" spans="48:51" s="16" customFormat="1" x14ac:dyDescent="0.2">
      <c r="AV933" s="52"/>
      <c r="AY933" s="52"/>
    </row>
    <row r="934" spans="48:51" s="16" customFormat="1" x14ac:dyDescent="0.2">
      <c r="AV934" s="52"/>
      <c r="AY934" s="52"/>
    </row>
    <row r="935" spans="48:51" s="16" customFormat="1" x14ac:dyDescent="0.2">
      <c r="AV935" s="52"/>
      <c r="AY935" s="52"/>
    </row>
    <row r="936" spans="48:51" s="16" customFormat="1" x14ac:dyDescent="0.2">
      <c r="AV936" s="52"/>
      <c r="AY936" s="52"/>
    </row>
    <row r="937" spans="48:51" s="16" customFormat="1" x14ac:dyDescent="0.2">
      <c r="AV937" s="52"/>
      <c r="AY937" s="52"/>
    </row>
    <row r="938" spans="48:51" s="16" customFormat="1" x14ac:dyDescent="0.2">
      <c r="AV938" s="52"/>
      <c r="AY938" s="52"/>
    </row>
    <row r="939" spans="48:51" s="16" customFormat="1" x14ac:dyDescent="0.2">
      <c r="AV939" s="52"/>
      <c r="AY939" s="52"/>
    </row>
    <row r="940" spans="48:51" s="16" customFormat="1" x14ac:dyDescent="0.2">
      <c r="AV940" s="52"/>
      <c r="AY940" s="52"/>
    </row>
    <row r="941" spans="48:51" s="16" customFormat="1" x14ac:dyDescent="0.2">
      <c r="AV941" s="52"/>
      <c r="AY941" s="52"/>
    </row>
    <row r="942" spans="48:51" s="16" customFormat="1" x14ac:dyDescent="0.2">
      <c r="AV942" s="52"/>
      <c r="AY942" s="52"/>
    </row>
    <row r="943" spans="48:51" s="16" customFormat="1" x14ac:dyDescent="0.2">
      <c r="AV943" s="52"/>
      <c r="AY943" s="52"/>
    </row>
    <row r="944" spans="48:51" s="16" customFormat="1" x14ac:dyDescent="0.2">
      <c r="AV944" s="52"/>
      <c r="AY944" s="52"/>
    </row>
    <row r="945" spans="48:51" s="16" customFormat="1" x14ac:dyDescent="0.2">
      <c r="AV945" s="52"/>
      <c r="AY945" s="52"/>
    </row>
    <row r="946" spans="48:51" s="16" customFormat="1" x14ac:dyDescent="0.2">
      <c r="AV946" s="52"/>
      <c r="AY946" s="52"/>
    </row>
    <row r="947" spans="48:51" s="16" customFormat="1" x14ac:dyDescent="0.2">
      <c r="AV947" s="52"/>
      <c r="AY947" s="52"/>
    </row>
    <row r="948" spans="48:51" s="16" customFormat="1" x14ac:dyDescent="0.2">
      <c r="AV948" s="52"/>
      <c r="AY948" s="52"/>
    </row>
    <row r="949" spans="48:51" s="16" customFormat="1" x14ac:dyDescent="0.2">
      <c r="AV949" s="52"/>
      <c r="AY949" s="52"/>
    </row>
    <row r="950" spans="48:51" s="16" customFormat="1" x14ac:dyDescent="0.2">
      <c r="AV950" s="52"/>
      <c r="AY950" s="52"/>
    </row>
    <row r="951" spans="48:51" s="16" customFormat="1" x14ac:dyDescent="0.2">
      <c r="AV951" s="52"/>
      <c r="AY951" s="52"/>
    </row>
    <row r="952" spans="48:51" s="16" customFormat="1" x14ac:dyDescent="0.2">
      <c r="AV952" s="52"/>
      <c r="AY952" s="52"/>
    </row>
    <row r="953" spans="48:51" s="16" customFormat="1" x14ac:dyDescent="0.2">
      <c r="AV953" s="52"/>
      <c r="AY953" s="52"/>
    </row>
    <row r="954" spans="48:51" s="16" customFormat="1" x14ac:dyDescent="0.2">
      <c r="AV954" s="52"/>
      <c r="AY954" s="52"/>
    </row>
    <row r="955" spans="48:51" s="16" customFormat="1" x14ac:dyDescent="0.2">
      <c r="AV955" s="52"/>
      <c r="AY955" s="52"/>
    </row>
    <row r="956" spans="48:51" s="16" customFormat="1" x14ac:dyDescent="0.2">
      <c r="AV956" s="52"/>
      <c r="AY956" s="52"/>
    </row>
    <row r="957" spans="48:51" s="16" customFormat="1" x14ac:dyDescent="0.2">
      <c r="AV957" s="52"/>
      <c r="AY957" s="52"/>
    </row>
    <row r="958" spans="48:51" s="16" customFormat="1" x14ac:dyDescent="0.2">
      <c r="AV958" s="52"/>
      <c r="AY958" s="52"/>
    </row>
    <row r="959" spans="48:51" s="16" customFormat="1" x14ac:dyDescent="0.2">
      <c r="AV959" s="52"/>
      <c r="AY959" s="52"/>
    </row>
    <row r="960" spans="48:51" s="16" customFormat="1" x14ac:dyDescent="0.2">
      <c r="AV960" s="52"/>
      <c r="AY960" s="52"/>
    </row>
    <row r="961" spans="48:51" s="16" customFormat="1" x14ac:dyDescent="0.2">
      <c r="AV961" s="52"/>
      <c r="AY961" s="52"/>
    </row>
    <row r="962" spans="48:51" s="16" customFormat="1" x14ac:dyDescent="0.2">
      <c r="AV962" s="52"/>
      <c r="AY962" s="52"/>
    </row>
    <row r="963" spans="48:51" s="16" customFormat="1" x14ac:dyDescent="0.2">
      <c r="AV963" s="52"/>
      <c r="AY963" s="52"/>
    </row>
    <row r="964" spans="48:51" s="16" customFormat="1" x14ac:dyDescent="0.2">
      <c r="AV964" s="52"/>
      <c r="AY964" s="52"/>
    </row>
    <row r="965" spans="48:51" s="16" customFormat="1" x14ac:dyDescent="0.2">
      <c r="AV965" s="52"/>
      <c r="AY965" s="52"/>
    </row>
    <row r="966" spans="48:51" s="16" customFormat="1" x14ac:dyDescent="0.2">
      <c r="AV966" s="52"/>
      <c r="AY966" s="52"/>
    </row>
    <row r="967" spans="48:51" s="16" customFormat="1" x14ac:dyDescent="0.2">
      <c r="AV967" s="52"/>
      <c r="AY967" s="52"/>
    </row>
    <row r="968" spans="48:51" s="16" customFormat="1" x14ac:dyDescent="0.2">
      <c r="AV968" s="52"/>
      <c r="AY968" s="52"/>
    </row>
    <row r="969" spans="48:51" s="16" customFormat="1" x14ac:dyDescent="0.2">
      <c r="AV969" s="52"/>
      <c r="AY969" s="52"/>
    </row>
    <row r="970" spans="48:51" s="16" customFormat="1" x14ac:dyDescent="0.2">
      <c r="AV970" s="52"/>
      <c r="AY970" s="52"/>
    </row>
    <row r="971" spans="48:51" s="16" customFormat="1" x14ac:dyDescent="0.2">
      <c r="AV971" s="52"/>
      <c r="AY971" s="52"/>
    </row>
    <row r="972" spans="48:51" s="16" customFormat="1" x14ac:dyDescent="0.2">
      <c r="AV972" s="52"/>
      <c r="AY972" s="52"/>
    </row>
    <row r="973" spans="48:51" s="16" customFormat="1" x14ac:dyDescent="0.2">
      <c r="AV973" s="52"/>
      <c r="AY973" s="52"/>
    </row>
    <row r="974" spans="48:51" s="16" customFormat="1" x14ac:dyDescent="0.2">
      <c r="AV974" s="52"/>
      <c r="AY974" s="52"/>
    </row>
    <row r="975" spans="48:51" s="16" customFormat="1" x14ac:dyDescent="0.2">
      <c r="AV975" s="52"/>
      <c r="AY975" s="52"/>
    </row>
    <row r="976" spans="48:51" s="16" customFormat="1" x14ac:dyDescent="0.2">
      <c r="AV976" s="52"/>
      <c r="AY976" s="52"/>
    </row>
    <row r="977" spans="48:51" s="16" customFormat="1" x14ac:dyDescent="0.2">
      <c r="AV977" s="52"/>
      <c r="AY977" s="52"/>
    </row>
    <row r="978" spans="48:51" s="16" customFormat="1" x14ac:dyDescent="0.2">
      <c r="AV978" s="52"/>
      <c r="AY978" s="52"/>
    </row>
    <row r="979" spans="48:51" s="16" customFormat="1" x14ac:dyDescent="0.2">
      <c r="AV979" s="52"/>
      <c r="AY979" s="52"/>
    </row>
    <row r="980" spans="48:51" s="16" customFormat="1" x14ac:dyDescent="0.2">
      <c r="AV980" s="52"/>
      <c r="AY980" s="52"/>
    </row>
    <row r="981" spans="48:51" s="16" customFormat="1" x14ac:dyDescent="0.2">
      <c r="AV981" s="52"/>
      <c r="AY981" s="52"/>
    </row>
    <row r="982" spans="48:51" s="16" customFormat="1" x14ac:dyDescent="0.2">
      <c r="AV982" s="52"/>
      <c r="AY982" s="52"/>
    </row>
    <row r="983" spans="48:51" s="16" customFormat="1" x14ac:dyDescent="0.2">
      <c r="AV983" s="52"/>
      <c r="AY983" s="52"/>
    </row>
    <row r="984" spans="48:51" s="16" customFormat="1" x14ac:dyDescent="0.2">
      <c r="AV984" s="52"/>
      <c r="AY984" s="52"/>
    </row>
    <row r="985" spans="48:51" s="16" customFormat="1" x14ac:dyDescent="0.2">
      <c r="AV985" s="52"/>
      <c r="AY985" s="52"/>
    </row>
    <row r="986" spans="48:51" s="16" customFormat="1" x14ac:dyDescent="0.2">
      <c r="AV986" s="52"/>
      <c r="AY986" s="52"/>
    </row>
    <row r="987" spans="48:51" s="16" customFormat="1" x14ac:dyDescent="0.2">
      <c r="AV987" s="52"/>
      <c r="AY987" s="52"/>
    </row>
    <row r="988" spans="48:51" s="16" customFormat="1" x14ac:dyDescent="0.2">
      <c r="AV988" s="52"/>
      <c r="AY988" s="52"/>
    </row>
    <row r="989" spans="48:51" s="16" customFormat="1" x14ac:dyDescent="0.2">
      <c r="AV989" s="52"/>
      <c r="AY989" s="52"/>
    </row>
    <row r="990" spans="48:51" s="16" customFormat="1" x14ac:dyDescent="0.2">
      <c r="AV990" s="52"/>
      <c r="AY990" s="52"/>
    </row>
    <row r="991" spans="48:51" s="16" customFormat="1" x14ac:dyDescent="0.2">
      <c r="AV991" s="52"/>
      <c r="AY991" s="52"/>
    </row>
    <row r="992" spans="48:51" s="16" customFormat="1" x14ac:dyDescent="0.2">
      <c r="AV992" s="52"/>
      <c r="AY992" s="52"/>
    </row>
    <row r="993" spans="48:51" s="16" customFormat="1" x14ac:dyDescent="0.2">
      <c r="AV993" s="52"/>
      <c r="AY993" s="52"/>
    </row>
    <row r="994" spans="48:51" s="16" customFormat="1" x14ac:dyDescent="0.2">
      <c r="AV994" s="52"/>
      <c r="AY994" s="52"/>
    </row>
    <row r="995" spans="48:51" s="16" customFormat="1" x14ac:dyDescent="0.2">
      <c r="AV995" s="52"/>
      <c r="AY995" s="52"/>
    </row>
    <row r="996" spans="48:51" s="16" customFormat="1" x14ac:dyDescent="0.2">
      <c r="AV996" s="52"/>
      <c r="AY996" s="52"/>
    </row>
    <row r="997" spans="48:51" s="16" customFormat="1" x14ac:dyDescent="0.2">
      <c r="AV997" s="52"/>
      <c r="AY997" s="52"/>
    </row>
    <row r="998" spans="48:51" s="16" customFormat="1" x14ac:dyDescent="0.2">
      <c r="AV998" s="52"/>
      <c r="AY998" s="52"/>
    </row>
    <row r="999" spans="48:51" s="16" customFormat="1" x14ac:dyDescent="0.2">
      <c r="AV999" s="52"/>
      <c r="AY999" s="52"/>
    </row>
    <row r="1000" spans="48:51" s="16" customFormat="1" x14ac:dyDescent="0.2">
      <c r="AV1000" s="52"/>
      <c r="AY1000" s="52"/>
    </row>
    <row r="1001" spans="48:51" s="16" customFormat="1" x14ac:dyDescent="0.2">
      <c r="AV1001" s="52"/>
      <c r="AY1001" s="52"/>
    </row>
    <row r="1002" spans="48:51" s="16" customFormat="1" x14ac:dyDescent="0.2">
      <c r="AV1002" s="52"/>
      <c r="AY1002" s="52"/>
    </row>
    <row r="1003" spans="48:51" s="16" customFormat="1" x14ac:dyDescent="0.2">
      <c r="AV1003" s="52"/>
      <c r="AY1003" s="52"/>
    </row>
    <row r="1004" spans="48:51" s="16" customFormat="1" x14ac:dyDescent="0.2">
      <c r="AV1004" s="52"/>
      <c r="AY1004" s="52"/>
    </row>
    <row r="1005" spans="48:51" s="16" customFormat="1" x14ac:dyDescent="0.2">
      <c r="AV1005" s="52"/>
      <c r="AY1005" s="52"/>
    </row>
    <row r="1006" spans="48:51" s="16" customFormat="1" x14ac:dyDescent="0.2">
      <c r="AV1006" s="52"/>
      <c r="AY1006" s="52"/>
    </row>
    <row r="1007" spans="48:51" s="16" customFormat="1" x14ac:dyDescent="0.2">
      <c r="AV1007" s="52"/>
      <c r="AY1007" s="52"/>
    </row>
    <row r="1008" spans="48:51" s="16" customFormat="1" x14ac:dyDescent="0.2">
      <c r="AV1008" s="52"/>
      <c r="AY1008" s="52"/>
    </row>
    <row r="1009" spans="48:51" s="16" customFormat="1" x14ac:dyDescent="0.2">
      <c r="AV1009" s="52"/>
      <c r="AY1009" s="52"/>
    </row>
    <row r="1010" spans="48:51" s="16" customFormat="1" x14ac:dyDescent="0.2">
      <c r="AV1010" s="52"/>
      <c r="AY1010" s="52"/>
    </row>
    <row r="1011" spans="48:51" s="16" customFormat="1" x14ac:dyDescent="0.2">
      <c r="AV1011" s="52"/>
      <c r="AY1011" s="52"/>
    </row>
    <row r="1012" spans="48:51" s="16" customFormat="1" x14ac:dyDescent="0.2">
      <c r="AV1012" s="52"/>
      <c r="AY1012" s="52"/>
    </row>
    <row r="1013" spans="48:51" s="16" customFormat="1" x14ac:dyDescent="0.2">
      <c r="AV1013" s="52"/>
      <c r="AY1013" s="52"/>
    </row>
    <row r="1014" spans="48:51" s="16" customFormat="1" x14ac:dyDescent="0.2">
      <c r="AV1014" s="52"/>
      <c r="AY1014" s="52"/>
    </row>
    <row r="1015" spans="48:51" s="16" customFormat="1" x14ac:dyDescent="0.2">
      <c r="AV1015" s="52"/>
      <c r="AY1015" s="52"/>
    </row>
    <row r="1016" spans="48:51" s="16" customFormat="1" x14ac:dyDescent="0.2">
      <c r="AV1016" s="52"/>
      <c r="AY1016" s="52"/>
    </row>
    <row r="1017" spans="48:51" s="16" customFormat="1" x14ac:dyDescent="0.2">
      <c r="AV1017" s="52"/>
      <c r="AY1017" s="52"/>
    </row>
    <row r="1018" spans="48:51" s="16" customFormat="1" x14ac:dyDescent="0.2">
      <c r="AV1018" s="52"/>
      <c r="AY1018" s="52"/>
    </row>
    <row r="1019" spans="48:51" s="16" customFormat="1" x14ac:dyDescent="0.2">
      <c r="AV1019" s="52"/>
      <c r="AY1019" s="52"/>
    </row>
    <row r="1020" spans="48:51" s="16" customFormat="1" x14ac:dyDescent="0.2">
      <c r="AV1020" s="52"/>
      <c r="AY1020" s="52"/>
    </row>
    <row r="1021" spans="48:51" s="16" customFormat="1" x14ac:dyDescent="0.2">
      <c r="AV1021" s="52"/>
      <c r="AY1021" s="52"/>
    </row>
    <row r="1022" spans="48:51" s="16" customFormat="1" x14ac:dyDescent="0.2">
      <c r="AV1022" s="52"/>
      <c r="AY1022" s="52"/>
    </row>
    <row r="1023" spans="48:51" s="16" customFormat="1" x14ac:dyDescent="0.2">
      <c r="AV1023" s="52"/>
      <c r="AY1023" s="52"/>
    </row>
    <row r="1024" spans="48:51" s="16" customFormat="1" x14ac:dyDescent="0.2">
      <c r="AV1024" s="52"/>
      <c r="AY1024" s="52"/>
    </row>
    <row r="1025" spans="48:51" s="16" customFormat="1" x14ac:dyDescent="0.2">
      <c r="AV1025" s="52"/>
      <c r="AY1025" s="52"/>
    </row>
    <row r="1026" spans="48:51" s="16" customFormat="1" x14ac:dyDescent="0.2">
      <c r="AV1026" s="52"/>
      <c r="AY1026" s="52"/>
    </row>
    <row r="1027" spans="48:51" s="16" customFormat="1" x14ac:dyDescent="0.2">
      <c r="AV1027" s="52"/>
      <c r="AY1027" s="52"/>
    </row>
    <row r="1028" spans="48:51" s="16" customFormat="1" x14ac:dyDescent="0.2">
      <c r="AV1028" s="52"/>
      <c r="AY1028" s="52"/>
    </row>
    <row r="1029" spans="48:51" s="16" customFormat="1" x14ac:dyDescent="0.2">
      <c r="AV1029" s="52"/>
      <c r="AY1029" s="52"/>
    </row>
    <row r="1030" spans="48:51" s="16" customFormat="1" x14ac:dyDescent="0.2">
      <c r="AV1030" s="52"/>
      <c r="AY1030" s="52"/>
    </row>
    <row r="1031" spans="48:51" s="16" customFormat="1" x14ac:dyDescent="0.2">
      <c r="AV1031" s="52"/>
      <c r="AY1031" s="52"/>
    </row>
    <row r="1032" spans="48:51" s="16" customFormat="1" x14ac:dyDescent="0.2">
      <c r="AV1032" s="52"/>
      <c r="AY1032" s="52"/>
    </row>
    <row r="1033" spans="48:51" s="16" customFormat="1" x14ac:dyDescent="0.2">
      <c r="AV1033" s="52"/>
      <c r="AY1033" s="52"/>
    </row>
    <row r="1034" spans="48:51" s="16" customFormat="1" x14ac:dyDescent="0.2">
      <c r="AV1034" s="52"/>
      <c r="AY1034" s="52"/>
    </row>
    <row r="1035" spans="48:51" s="16" customFormat="1" x14ac:dyDescent="0.2">
      <c r="AV1035" s="52"/>
      <c r="AY1035" s="52"/>
    </row>
    <row r="1036" spans="48:51" s="16" customFormat="1" x14ac:dyDescent="0.2">
      <c r="AV1036" s="52"/>
      <c r="AY1036" s="52"/>
    </row>
    <row r="1037" spans="48:51" s="16" customFormat="1" x14ac:dyDescent="0.2">
      <c r="AV1037" s="52"/>
      <c r="AY1037" s="52"/>
    </row>
    <row r="1038" spans="48:51" s="16" customFormat="1" x14ac:dyDescent="0.2">
      <c r="AV1038" s="52"/>
      <c r="AY1038" s="52"/>
    </row>
    <row r="1039" spans="48:51" s="16" customFormat="1" x14ac:dyDescent="0.2">
      <c r="AV1039" s="52"/>
      <c r="AY1039" s="52"/>
    </row>
    <row r="1040" spans="48:51" s="16" customFormat="1" x14ac:dyDescent="0.2">
      <c r="AV1040" s="52"/>
      <c r="AY1040" s="52"/>
    </row>
    <row r="1041" spans="48:51" s="16" customFormat="1" x14ac:dyDescent="0.2">
      <c r="AV1041" s="52"/>
      <c r="AY1041" s="52"/>
    </row>
    <row r="1042" spans="48:51" s="16" customFormat="1" x14ac:dyDescent="0.2">
      <c r="AV1042" s="52"/>
      <c r="AY1042" s="52"/>
    </row>
    <row r="1043" spans="48:51" s="16" customFormat="1" x14ac:dyDescent="0.2">
      <c r="AV1043" s="52"/>
      <c r="AY1043" s="52"/>
    </row>
    <row r="1044" spans="48:51" s="16" customFormat="1" x14ac:dyDescent="0.2">
      <c r="AV1044" s="52"/>
      <c r="AY1044" s="52"/>
    </row>
    <row r="1045" spans="48:51" s="16" customFormat="1" x14ac:dyDescent="0.2">
      <c r="AV1045" s="52"/>
      <c r="AY1045" s="52"/>
    </row>
    <row r="1046" spans="48:51" s="16" customFormat="1" x14ac:dyDescent="0.2">
      <c r="AV1046" s="52"/>
      <c r="AY1046" s="52"/>
    </row>
    <row r="1047" spans="48:51" s="16" customFormat="1" x14ac:dyDescent="0.2">
      <c r="AV1047" s="52"/>
      <c r="AY1047" s="52"/>
    </row>
    <row r="1048" spans="48:51" s="16" customFormat="1" x14ac:dyDescent="0.2">
      <c r="AV1048" s="52"/>
      <c r="AY1048" s="52"/>
    </row>
    <row r="1049" spans="48:51" s="16" customFormat="1" x14ac:dyDescent="0.2">
      <c r="AV1049" s="52"/>
      <c r="AY1049" s="52"/>
    </row>
    <row r="1050" spans="48:51" s="16" customFormat="1" x14ac:dyDescent="0.2">
      <c r="AV1050" s="52"/>
      <c r="AY1050" s="52"/>
    </row>
    <row r="1051" spans="48:51" s="16" customFormat="1" x14ac:dyDescent="0.2">
      <c r="AV1051" s="52"/>
      <c r="AY1051" s="52"/>
    </row>
    <row r="1052" spans="48:51" s="16" customFormat="1" x14ac:dyDescent="0.2">
      <c r="AV1052" s="52"/>
      <c r="AY1052" s="52"/>
    </row>
    <row r="1053" spans="48:51" s="16" customFormat="1" x14ac:dyDescent="0.2">
      <c r="AV1053" s="52"/>
      <c r="AY1053" s="52"/>
    </row>
    <row r="1054" spans="48:51" s="16" customFormat="1" x14ac:dyDescent="0.2">
      <c r="AV1054" s="52"/>
      <c r="AY1054" s="52"/>
    </row>
    <row r="1055" spans="48:51" s="16" customFormat="1" x14ac:dyDescent="0.2">
      <c r="AV1055" s="52"/>
      <c r="AY1055" s="52"/>
    </row>
    <row r="1056" spans="48:51" s="16" customFormat="1" x14ac:dyDescent="0.2">
      <c r="AV1056" s="52"/>
      <c r="AY1056" s="52"/>
    </row>
    <row r="1057" spans="48:51" s="16" customFormat="1" x14ac:dyDescent="0.2">
      <c r="AV1057" s="52"/>
      <c r="AY1057" s="52"/>
    </row>
    <row r="1058" spans="48:51" s="16" customFormat="1" x14ac:dyDescent="0.2">
      <c r="AV1058" s="52"/>
      <c r="AY1058" s="52"/>
    </row>
    <row r="1059" spans="48:51" s="16" customFormat="1" x14ac:dyDescent="0.2">
      <c r="AV1059" s="52"/>
      <c r="AY1059" s="52"/>
    </row>
    <row r="1060" spans="48:51" s="16" customFormat="1" x14ac:dyDescent="0.2">
      <c r="AV1060" s="52"/>
      <c r="AY1060" s="52"/>
    </row>
    <row r="1061" spans="48:51" s="16" customFormat="1" x14ac:dyDescent="0.2">
      <c r="AV1061" s="52"/>
      <c r="AY1061" s="52"/>
    </row>
    <row r="1062" spans="48:51" s="16" customFormat="1" x14ac:dyDescent="0.2">
      <c r="AV1062" s="52"/>
      <c r="AY1062" s="52"/>
    </row>
    <row r="1063" spans="48:51" s="16" customFormat="1" x14ac:dyDescent="0.2">
      <c r="AV1063" s="52"/>
      <c r="AY1063" s="52"/>
    </row>
    <row r="1064" spans="48:51" s="16" customFormat="1" x14ac:dyDescent="0.2">
      <c r="AV1064" s="52"/>
      <c r="AY1064" s="52"/>
    </row>
    <row r="1065" spans="48:51" s="16" customFormat="1" x14ac:dyDescent="0.2">
      <c r="AV1065" s="52"/>
      <c r="AY1065" s="52"/>
    </row>
    <row r="1066" spans="48:51" s="16" customFormat="1" x14ac:dyDescent="0.2">
      <c r="AV1066" s="52"/>
      <c r="AY1066" s="52"/>
    </row>
    <row r="1067" spans="48:51" s="16" customFormat="1" x14ac:dyDescent="0.2">
      <c r="AV1067" s="52"/>
      <c r="AY1067" s="52"/>
    </row>
    <row r="1068" spans="48:51" s="16" customFormat="1" x14ac:dyDescent="0.2">
      <c r="AV1068" s="52"/>
      <c r="AY1068" s="52"/>
    </row>
    <row r="1069" spans="48:51" s="16" customFormat="1" x14ac:dyDescent="0.2">
      <c r="AV1069" s="52"/>
      <c r="AY1069" s="52"/>
    </row>
    <row r="1070" spans="48:51" s="16" customFormat="1" x14ac:dyDescent="0.2">
      <c r="AV1070" s="52"/>
      <c r="AY1070" s="52"/>
    </row>
    <row r="1071" spans="48:51" s="16" customFormat="1" x14ac:dyDescent="0.2">
      <c r="AV1071" s="52"/>
      <c r="AY1071" s="52"/>
    </row>
    <row r="1072" spans="48:51" s="16" customFormat="1" x14ac:dyDescent="0.2">
      <c r="AV1072" s="52"/>
      <c r="AY1072" s="52"/>
    </row>
    <row r="1073" spans="48:51" s="16" customFormat="1" x14ac:dyDescent="0.2">
      <c r="AV1073" s="52"/>
      <c r="AY1073" s="52"/>
    </row>
    <row r="1074" spans="48:51" s="16" customFormat="1" x14ac:dyDescent="0.2">
      <c r="AV1074" s="52"/>
      <c r="AY1074" s="52"/>
    </row>
    <row r="1075" spans="48:51" s="16" customFormat="1" x14ac:dyDescent="0.2">
      <c r="AV1075" s="52"/>
      <c r="AY1075" s="52"/>
    </row>
    <row r="1076" spans="48:51" s="16" customFormat="1" x14ac:dyDescent="0.2">
      <c r="AV1076" s="52"/>
      <c r="AY1076" s="52"/>
    </row>
    <row r="1077" spans="48:51" s="16" customFormat="1" x14ac:dyDescent="0.2">
      <c r="AV1077" s="52"/>
      <c r="AY1077" s="52"/>
    </row>
    <row r="1078" spans="48:51" s="16" customFormat="1" x14ac:dyDescent="0.2">
      <c r="AV1078" s="52"/>
      <c r="AY1078" s="52"/>
    </row>
    <row r="1079" spans="48:51" s="16" customFormat="1" x14ac:dyDescent="0.2">
      <c r="AV1079" s="52"/>
      <c r="AY1079" s="52"/>
    </row>
    <row r="1080" spans="48:51" s="16" customFormat="1" x14ac:dyDescent="0.2">
      <c r="AV1080" s="52"/>
      <c r="AY1080" s="52"/>
    </row>
    <row r="1081" spans="48:51" s="16" customFormat="1" x14ac:dyDescent="0.2">
      <c r="AV1081" s="52"/>
      <c r="AY1081" s="52"/>
    </row>
    <row r="1082" spans="48:51" s="16" customFormat="1" x14ac:dyDescent="0.2">
      <c r="AV1082" s="52"/>
      <c r="AY1082" s="52"/>
    </row>
    <row r="1083" spans="48:51" s="16" customFormat="1" x14ac:dyDescent="0.2">
      <c r="AV1083" s="52"/>
      <c r="AY1083" s="52"/>
    </row>
    <row r="1084" spans="48:51" s="16" customFormat="1" x14ac:dyDescent="0.2">
      <c r="AV1084" s="52"/>
      <c r="AY1084" s="52"/>
    </row>
    <row r="1085" spans="48:51" s="16" customFormat="1" x14ac:dyDescent="0.2">
      <c r="AV1085" s="52"/>
      <c r="AY1085" s="52"/>
    </row>
    <row r="1086" spans="48:51" s="16" customFormat="1" x14ac:dyDescent="0.2">
      <c r="AV1086" s="52"/>
      <c r="AY1086" s="52"/>
    </row>
    <row r="1087" spans="48:51" s="16" customFormat="1" x14ac:dyDescent="0.2">
      <c r="AV1087" s="52"/>
      <c r="AY1087" s="52"/>
    </row>
    <row r="1088" spans="48:51" s="16" customFormat="1" x14ac:dyDescent="0.2">
      <c r="AV1088" s="52"/>
      <c r="AY1088" s="52"/>
    </row>
    <row r="1089" spans="48:51" s="16" customFormat="1" x14ac:dyDescent="0.2">
      <c r="AV1089" s="52"/>
      <c r="AY1089" s="52"/>
    </row>
    <row r="1090" spans="48:51" s="16" customFormat="1" x14ac:dyDescent="0.2">
      <c r="AV1090" s="52"/>
      <c r="AY1090" s="52"/>
    </row>
    <row r="1091" spans="48:51" s="16" customFormat="1" x14ac:dyDescent="0.2">
      <c r="AV1091" s="52"/>
      <c r="AY1091" s="52"/>
    </row>
    <row r="1092" spans="48:51" s="16" customFormat="1" x14ac:dyDescent="0.2">
      <c r="AV1092" s="52"/>
      <c r="AY1092" s="52"/>
    </row>
    <row r="1093" spans="48:51" s="16" customFormat="1" x14ac:dyDescent="0.2">
      <c r="AV1093" s="52"/>
      <c r="AY1093" s="52"/>
    </row>
    <row r="1094" spans="48:51" s="16" customFormat="1" x14ac:dyDescent="0.2">
      <c r="AV1094" s="52"/>
      <c r="AY1094" s="52"/>
    </row>
    <row r="1095" spans="48:51" s="16" customFormat="1" x14ac:dyDescent="0.2">
      <c r="AV1095" s="52"/>
      <c r="AY1095" s="52"/>
    </row>
    <row r="1096" spans="48:51" s="16" customFormat="1" x14ac:dyDescent="0.2">
      <c r="AV1096" s="52"/>
      <c r="AY1096" s="52"/>
    </row>
    <row r="1097" spans="48:51" s="16" customFormat="1" x14ac:dyDescent="0.2">
      <c r="AV1097" s="52"/>
      <c r="AY1097" s="52"/>
    </row>
    <row r="1098" spans="48:51" s="16" customFormat="1" x14ac:dyDescent="0.2">
      <c r="AV1098" s="52"/>
      <c r="AY1098" s="52"/>
    </row>
    <row r="1099" spans="48:51" s="16" customFormat="1" x14ac:dyDescent="0.2">
      <c r="AV1099" s="52"/>
      <c r="AY1099" s="52"/>
    </row>
    <row r="1100" spans="48:51" s="16" customFormat="1" x14ac:dyDescent="0.2">
      <c r="AV1100" s="52"/>
      <c r="AY1100" s="52"/>
    </row>
    <row r="1101" spans="48:51" s="16" customFormat="1" x14ac:dyDescent="0.2">
      <c r="AV1101" s="52"/>
      <c r="AY1101" s="52"/>
    </row>
    <row r="1102" spans="48:51" s="16" customFormat="1" x14ac:dyDescent="0.2">
      <c r="AV1102" s="52"/>
      <c r="AY1102" s="52"/>
    </row>
    <row r="1103" spans="48:51" s="16" customFormat="1" x14ac:dyDescent="0.2">
      <c r="AV1103" s="52"/>
      <c r="AY1103" s="52"/>
    </row>
    <row r="1104" spans="48:51" s="16" customFormat="1" x14ac:dyDescent="0.2">
      <c r="AV1104" s="52"/>
      <c r="AY1104" s="52"/>
    </row>
    <row r="1105" spans="48:51" s="16" customFormat="1" x14ac:dyDescent="0.2">
      <c r="AV1105" s="52"/>
      <c r="AY1105" s="52"/>
    </row>
    <row r="1106" spans="48:51" s="16" customFormat="1" x14ac:dyDescent="0.2">
      <c r="AV1106" s="52"/>
      <c r="AY1106" s="52"/>
    </row>
    <row r="1107" spans="48:51" s="16" customFormat="1" x14ac:dyDescent="0.2">
      <c r="AV1107" s="52"/>
      <c r="AY1107" s="52"/>
    </row>
    <row r="1108" spans="48:51" s="16" customFormat="1" x14ac:dyDescent="0.2">
      <c r="AV1108" s="52"/>
      <c r="AY1108" s="52"/>
    </row>
    <row r="1109" spans="48:51" s="16" customFormat="1" x14ac:dyDescent="0.2">
      <c r="AV1109" s="52"/>
      <c r="AY1109" s="52"/>
    </row>
    <row r="1110" spans="48:51" s="16" customFormat="1" x14ac:dyDescent="0.2">
      <c r="AV1110" s="52"/>
      <c r="AY1110" s="52"/>
    </row>
    <row r="1111" spans="48:51" s="16" customFormat="1" x14ac:dyDescent="0.2">
      <c r="AV1111" s="52"/>
      <c r="AY1111" s="52"/>
    </row>
    <row r="1112" spans="48:51" s="16" customFormat="1" x14ac:dyDescent="0.2">
      <c r="AV1112" s="52"/>
      <c r="AY1112" s="52"/>
    </row>
    <row r="1113" spans="48:51" s="16" customFormat="1" x14ac:dyDescent="0.2">
      <c r="AV1113" s="52"/>
      <c r="AY1113" s="52"/>
    </row>
    <row r="1114" spans="48:51" s="16" customFormat="1" x14ac:dyDescent="0.2">
      <c r="AV1114" s="52"/>
      <c r="AY1114" s="52"/>
    </row>
    <row r="1115" spans="48:51" s="16" customFormat="1" x14ac:dyDescent="0.2">
      <c r="AV1115" s="52"/>
      <c r="AY1115" s="52"/>
    </row>
    <row r="1116" spans="48:51" s="16" customFormat="1" x14ac:dyDescent="0.2">
      <c r="AV1116" s="52"/>
      <c r="AY1116" s="52"/>
    </row>
    <row r="1117" spans="48:51" s="16" customFormat="1" x14ac:dyDescent="0.2">
      <c r="AV1117" s="52"/>
      <c r="AY1117" s="52"/>
    </row>
    <row r="1118" spans="48:51" s="16" customFormat="1" x14ac:dyDescent="0.2">
      <c r="AV1118" s="52"/>
      <c r="AY1118" s="52"/>
    </row>
    <row r="1119" spans="48:51" s="16" customFormat="1" x14ac:dyDescent="0.2">
      <c r="AV1119" s="52"/>
      <c r="AY1119" s="52"/>
    </row>
    <row r="1120" spans="48:51" s="16" customFormat="1" x14ac:dyDescent="0.2">
      <c r="AV1120" s="52"/>
      <c r="AY1120" s="52"/>
    </row>
    <row r="1121" spans="48:51" s="16" customFormat="1" x14ac:dyDescent="0.2">
      <c r="AV1121" s="52"/>
      <c r="AY1121" s="52"/>
    </row>
    <row r="1122" spans="48:51" s="16" customFormat="1" x14ac:dyDescent="0.2">
      <c r="AV1122" s="52"/>
      <c r="AY1122" s="52"/>
    </row>
    <row r="1123" spans="48:51" s="16" customFormat="1" x14ac:dyDescent="0.2">
      <c r="AV1123" s="52"/>
      <c r="AY1123" s="52"/>
    </row>
    <row r="1124" spans="48:51" s="16" customFormat="1" x14ac:dyDescent="0.2">
      <c r="AV1124" s="52"/>
      <c r="AY1124" s="52"/>
    </row>
    <row r="1125" spans="48:51" s="16" customFormat="1" x14ac:dyDescent="0.2">
      <c r="AV1125" s="52"/>
      <c r="AY1125" s="52"/>
    </row>
    <row r="1126" spans="48:51" s="16" customFormat="1" x14ac:dyDescent="0.2">
      <c r="AV1126" s="52"/>
      <c r="AY1126" s="52"/>
    </row>
    <row r="1127" spans="48:51" s="16" customFormat="1" x14ac:dyDescent="0.2">
      <c r="AV1127" s="52"/>
      <c r="AY1127" s="52"/>
    </row>
    <row r="1128" spans="48:51" s="16" customFormat="1" x14ac:dyDescent="0.2">
      <c r="AV1128" s="52"/>
      <c r="AY1128" s="52"/>
    </row>
    <row r="1129" spans="48:51" s="16" customFormat="1" x14ac:dyDescent="0.2">
      <c r="AV1129" s="52"/>
      <c r="AY1129" s="52"/>
    </row>
    <row r="1130" spans="48:51" s="16" customFormat="1" x14ac:dyDescent="0.2">
      <c r="AV1130" s="52"/>
      <c r="AY1130" s="52"/>
    </row>
    <row r="1131" spans="48:51" s="16" customFormat="1" x14ac:dyDescent="0.2">
      <c r="AV1131" s="52"/>
      <c r="AY1131" s="52"/>
    </row>
    <row r="1132" spans="48:51" s="16" customFormat="1" x14ac:dyDescent="0.2">
      <c r="AV1132" s="52"/>
      <c r="AY1132" s="52"/>
    </row>
    <row r="1133" spans="48:51" s="16" customFormat="1" x14ac:dyDescent="0.2">
      <c r="AV1133" s="52"/>
      <c r="AY1133" s="52"/>
    </row>
    <row r="1134" spans="48:51" s="16" customFormat="1" x14ac:dyDescent="0.2">
      <c r="AV1134" s="52"/>
      <c r="AY1134" s="52"/>
    </row>
    <row r="1135" spans="48:51" s="16" customFormat="1" x14ac:dyDescent="0.2">
      <c r="AV1135" s="52"/>
      <c r="AY1135" s="52"/>
    </row>
    <row r="1136" spans="48:51" s="16" customFormat="1" x14ac:dyDescent="0.2">
      <c r="AV1136" s="52"/>
      <c r="AY1136" s="52"/>
    </row>
    <row r="1137" spans="48:51" s="16" customFormat="1" x14ac:dyDescent="0.2">
      <c r="AV1137" s="52"/>
      <c r="AY1137" s="52"/>
    </row>
    <row r="1138" spans="48:51" s="16" customFormat="1" x14ac:dyDescent="0.2">
      <c r="AV1138" s="52"/>
      <c r="AY1138" s="52"/>
    </row>
    <row r="1139" spans="48:51" s="16" customFormat="1" x14ac:dyDescent="0.2">
      <c r="AV1139" s="52"/>
      <c r="AY1139" s="52"/>
    </row>
    <row r="1140" spans="48:51" s="16" customFormat="1" x14ac:dyDescent="0.2">
      <c r="AV1140" s="52"/>
      <c r="AY1140" s="52"/>
    </row>
    <row r="1141" spans="48:51" s="16" customFormat="1" x14ac:dyDescent="0.2">
      <c r="AV1141" s="52"/>
      <c r="AY1141" s="52"/>
    </row>
    <row r="1142" spans="48:51" s="16" customFormat="1" x14ac:dyDescent="0.2">
      <c r="AV1142" s="52"/>
      <c r="AY1142" s="52"/>
    </row>
    <row r="1143" spans="48:51" s="16" customFormat="1" x14ac:dyDescent="0.2">
      <c r="AV1143" s="52"/>
      <c r="AY1143" s="52"/>
    </row>
    <row r="1144" spans="48:51" s="16" customFormat="1" x14ac:dyDescent="0.2">
      <c r="AV1144" s="52"/>
      <c r="AY1144" s="52"/>
    </row>
    <row r="1145" spans="48:51" s="16" customFormat="1" x14ac:dyDescent="0.2">
      <c r="AV1145" s="52"/>
      <c r="AY1145" s="52"/>
    </row>
    <row r="1146" spans="48:51" s="16" customFormat="1" x14ac:dyDescent="0.2">
      <c r="AV1146" s="52"/>
      <c r="AY1146" s="52"/>
    </row>
    <row r="1147" spans="48:51" s="16" customFormat="1" x14ac:dyDescent="0.2">
      <c r="AV1147" s="52"/>
      <c r="AY1147" s="52"/>
    </row>
    <row r="1148" spans="48:51" s="16" customFormat="1" x14ac:dyDescent="0.2">
      <c r="AV1148" s="52"/>
      <c r="AY1148" s="52"/>
    </row>
    <row r="1149" spans="48:51" s="16" customFormat="1" x14ac:dyDescent="0.2">
      <c r="AV1149" s="52"/>
      <c r="AY1149" s="52"/>
    </row>
    <row r="1150" spans="48:51" s="16" customFormat="1" x14ac:dyDescent="0.2">
      <c r="AV1150" s="52"/>
      <c r="AY1150" s="52"/>
    </row>
    <row r="1151" spans="48:51" s="16" customFormat="1" x14ac:dyDescent="0.2">
      <c r="AV1151" s="52"/>
      <c r="AY1151" s="52"/>
    </row>
    <row r="1152" spans="48:51" s="16" customFormat="1" x14ac:dyDescent="0.2">
      <c r="AV1152" s="52"/>
      <c r="AY1152" s="52"/>
    </row>
    <row r="1153" spans="48:51" s="16" customFormat="1" x14ac:dyDescent="0.2">
      <c r="AV1153" s="52"/>
      <c r="AY1153" s="52"/>
    </row>
    <row r="1154" spans="48:51" s="16" customFormat="1" x14ac:dyDescent="0.2">
      <c r="AV1154" s="52"/>
      <c r="AY1154" s="52"/>
    </row>
    <row r="1155" spans="48:51" s="16" customFormat="1" x14ac:dyDescent="0.2">
      <c r="AV1155" s="52"/>
      <c r="AY1155" s="52"/>
    </row>
    <row r="1156" spans="48:51" s="16" customFormat="1" x14ac:dyDescent="0.2">
      <c r="AV1156" s="52"/>
      <c r="AY1156" s="52"/>
    </row>
    <row r="1157" spans="48:51" s="16" customFormat="1" x14ac:dyDescent="0.2">
      <c r="AV1157" s="52"/>
      <c r="AY1157" s="52"/>
    </row>
    <row r="1158" spans="48:51" s="16" customFormat="1" x14ac:dyDescent="0.2">
      <c r="AV1158" s="52"/>
      <c r="AY1158" s="52"/>
    </row>
    <row r="1159" spans="48:51" s="16" customFormat="1" x14ac:dyDescent="0.2">
      <c r="AV1159" s="52"/>
      <c r="AY1159" s="52"/>
    </row>
    <row r="1160" spans="48:51" s="16" customFormat="1" x14ac:dyDescent="0.2">
      <c r="AV1160" s="52"/>
      <c r="AY1160" s="52"/>
    </row>
    <row r="1161" spans="48:51" s="16" customFormat="1" x14ac:dyDescent="0.2">
      <c r="AV1161" s="52"/>
      <c r="AY1161" s="52"/>
    </row>
    <row r="1162" spans="48:51" s="16" customFormat="1" x14ac:dyDescent="0.2">
      <c r="AV1162" s="52"/>
      <c r="AY1162" s="52"/>
    </row>
    <row r="1163" spans="48:51" s="16" customFormat="1" x14ac:dyDescent="0.2">
      <c r="AV1163" s="52"/>
      <c r="AY1163" s="52"/>
    </row>
    <row r="1164" spans="48:51" s="16" customFormat="1" x14ac:dyDescent="0.2">
      <c r="AV1164" s="52"/>
      <c r="AY1164" s="52"/>
    </row>
    <row r="1165" spans="48:51" s="16" customFormat="1" x14ac:dyDescent="0.2">
      <c r="AV1165" s="52"/>
      <c r="AY1165" s="52"/>
    </row>
    <row r="1166" spans="48:51" s="16" customFormat="1" x14ac:dyDescent="0.2">
      <c r="AV1166" s="52"/>
      <c r="AY1166" s="52"/>
    </row>
    <row r="1167" spans="48:51" s="16" customFormat="1" x14ac:dyDescent="0.2">
      <c r="AV1167" s="52"/>
      <c r="AY1167" s="52"/>
    </row>
    <row r="1168" spans="48:51" s="16" customFormat="1" x14ac:dyDescent="0.2">
      <c r="AV1168" s="52"/>
      <c r="AY1168" s="52"/>
    </row>
    <row r="1169" spans="48:51" s="16" customFormat="1" x14ac:dyDescent="0.2">
      <c r="AV1169" s="52"/>
      <c r="AY1169" s="52"/>
    </row>
    <row r="1170" spans="48:51" s="16" customFormat="1" x14ac:dyDescent="0.2">
      <c r="AV1170" s="52"/>
      <c r="AY1170" s="52"/>
    </row>
    <row r="1171" spans="48:51" s="16" customFormat="1" x14ac:dyDescent="0.2">
      <c r="AV1171" s="52"/>
      <c r="AY1171" s="52"/>
    </row>
    <row r="1172" spans="48:51" s="16" customFormat="1" x14ac:dyDescent="0.2">
      <c r="AV1172" s="52"/>
      <c r="AY1172" s="52"/>
    </row>
    <row r="1173" spans="48:51" s="16" customFormat="1" x14ac:dyDescent="0.2">
      <c r="AV1173" s="52"/>
      <c r="AY1173" s="52"/>
    </row>
    <row r="1174" spans="48:51" s="16" customFormat="1" x14ac:dyDescent="0.2">
      <c r="AV1174" s="52"/>
      <c r="AY1174" s="52"/>
    </row>
    <row r="1175" spans="48:51" s="16" customFormat="1" x14ac:dyDescent="0.2">
      <c r="AV1175" s="52"/>
      <c r="AY1175" s="52"/>
    </row>
    <row r="1176" spans="48:51" s="16" customFormat="1" x14ac:dyDescent="0.2">
      <c r="AV1176" s="52"/>
      <c r="AY1176" s="52"/>
    </row>
    <row r="1177" spans="48:51" s="16" customFormat="1" x14ac:dyDescent="0.2">
      <c r="AV1177" s="52"/>
      <c r="AY1177" s="52"/>
    </row>
    <row r="1178" spans="48:51" s="16" customFormat="1" x14ac:dyDescent="0.2">
      <c r="AV1178" s="52"/>
      <c r="AY1178" s="52"/>
    </row>
    <row r="1179" spans="48:51" s="16" customFormat="1" x14ac:dyDescent="0.2">
      <c r="AV1179" s="52"/>
      <c r="AY1179" s="52"/>
    </row>
    <row r="1180" spans="48:51" s="16" customFormat="1" x14ac:dyDescent="0.2">
      <c r="AV1180" s="52"/>
      <c r="AY1180" s="52"/>
    </row>
    <row r="1181" spans="48:51" s="16" customFormat="1" x14ac:dyDescent="0.2">
      <c r="AV1181" s="52"/>
      <c r="AY1181" s="52"/>
    </row>
    <row r="1182" spans="48:51" s="16" customFormat="1" x14ac:dyDescent="0.2">
      <c r="AV1182" s="52"/>
      <c r="AY1182" s="52"/>
    </row>
    <row r="1183" spans="48:51" s="16" customFormat="1" x14ac:dyDescent="0.2">
      <c r="AV1183" s="52"/>
      <c r="AY1183" s="52"/>
    </row>
    <row r="1184" spans="48:51" s="16" customFormat="1" x14ac:dyDescent="0.2">
      <c r="AV1184" s="52"/>
      <c r="AY1184" s="52"/>
    </row>
    <row r="1185" spans="48:51" s="16" customFormat="1" x14ac:dyDescent="0.2">
      <c r="AV1185" s="52"/>
      <c r="AY1185" s="52"/>
    </row>
    <row r="1186" spans="48:51" s="16" customFormat="1" x14ac:dyDescent="0.2">
      <c r="AV1186" s="52"/>
      <c r="AY1186" s="52"/>
    </row>
    <row r="1187" spans="48:51" s="16" customFormat="1" x14ac:dyDescent="0.2">
      <c r="AV1187" s="52"/>
      <c r="AY1187" s="52"/>
    </row>
    <row r="1188" spans="48:51" s="16" customFormat="1" x14ac:dyDescent="0.2">
      <c r="AV1188" s="52"/>
      <c r="AY1188" s="52"/>
    </row>
    <row r="1189" spans="48:51" s="16" customFormat="1" x14ac:dyDescent="0.2">
      <c r="AV1189" s="52"/>
      <c r="AY1189" s="52"/>
    </row>
    <row r="1190" spans="48:51" s="16" customFormat="1" x14ac:dyDescent="0.2">
      <c r="AV1190" s="52"/>
      <c r="AY1190" s="52"/>
    </row>
    <row r="1191" spans="48:51" s="16" customFormat="1" x14ac:dyDescent="0.2">
      <c r="AV1191" s="52"/>
      <c r="AY1191" s="52"/>
    </row>
    <row r="1192" spans="48:51" s="16" customFormat="1" x14ac:dyDescent="0.2">
      <c r="AV1192" s="52"/>
      <c r="AY1192" s="52"/>
    </row>
    <row r="1193" spans="48:51" s="16" customFormat="1" x14ac:dyDescent="0.2">
      <c r="AV1193" s="52"/>
      <c r="AY1193" s="52"/>
    </row>
    <row r="1194" spans="48:51" s="16" customFormat="1" x14ac:dyDescent="0.2">
      <c r="AV1194" s="52"/>
      <c r="AY1194" s="52"/>
    </row>
    <row r="1195" spans="48:51" s="16" customFormat="1" x14ac:dyDescent="0.2">
      <c r="AV1195" s="52"/>
      <c r="AY1195" s="52"/>
    </row>
    <row r="1196" spans="48:51" s="16" customFormat="1" x14ac:dyDescent="0.2">
      <c r="AV1196" s="52"/>
      <c r="AY1196" s="52"/>
    </row>
    <row r="1197" spans="48:51" s="16" customFormat="1" x14ac:dyDescent="0.2">
      <c r="AV1197" s="52"/>
      <c r="AY1197" s="52"/>
    </row>
    <row r="1198" spans="48:51" s="16" customFormat="1" x14ac:dyDescent="0.2">
      <c r="AV1198" s="52"/>
      <c r="AY1198" s="52"/>
    </row>
    <row r="1199" spans="48:51" s="16" customFormat="1" x14ac:dyDescent="0.2">
      <c r="AV1199" s="52"/>
      <c r="AY1199" s="52"/>
    </row>
    <row r="1200" spans="48:51" s="16" customFormat="1" x14ac:dyDescent="0.2">
      <c r="AV1200" s="52"/>
      <c r="AY1200" s="52"/>
    </row>
    <row r="1201" spans="48:51" s="16" customFormat="1" x14ac:dyDescent="0.2">
      <c r="AV1201" s="52"/>
      <c r="AY1201" s="52"/>
    </row>
    <row r="1202" spans="48:51" s="16" customFormat="1" x14ac:dyDescent="0.2">
      <c r="AV1202" s="52"/>
      <c r="AY1202" s="52"/>
    </row>
    <row r="1203" spans="48:51" s="16" customFormat="1" x14ac:dyDescent="0.2">
      <c r="AV1203" s="52"/>
      <c r="AY1203" s="52"/>
    </row>
    <row r="1204" spans="48:51" s="16" customFormat="1" x14ac:dyDescent="0.2">
      <c r="AV1204" s="52"/>
      <c r="AY1204" s="52"/>
    </row>
    <row r="1205" spans="48:51" s="16" customFormat="1" x14ac:dyDescent="0.2">
      <c r="AV1205" s="52"/>
      <c r="AY1205" s="52"/>
    </row>
    <row r="1206" spans="48:51" s="16" customFormat="1" x14ac:dyDescent="0.2">
      <c r="AV1206" s="52"/>
      <c r="AY1206" s="52"/>
    </row>
    <row r="1207" spans="48:51" s="16" customFormat="1" x14ac:dyDescent="0.2">
      <c r="AV1207" s="52"/>
      <c r="AY1207" s="52"/>
    </row>
    <row r="1208" spans="48:51" s="16" customFormat="1" x14ac:dyDescent="0.2">
      <c r="AV1208" s="52"/>
      <c r="AY1208" s="52"/>
    </row>
    <row r="1209" spans="48:51" s="16" customFormat="1" x14ac:dyDescent="0.2">
      <c r="AV1209" s="52"/>
      <c r="AY1209" s="52"/>
    </row>
    <row r="1210" spans="48:51" s="16" customFormat="1" x14ac:dyDescent="0.2">
      <c r="AV1210" s="52"/>
      <c r="AY1210" s="52"/>
    </row>
    <row r="1211" spans="48:51" s="16" customFormat="1" x14ac:dyDescent="0.2">
      <c r="AV1211" s="52"/>
      <c r="AY1211" s="52"/>
    </row>
    <row r="1212" spans="48:51" s="16" customFormat="1" x14ac:dyDescent="0.2">
      <c r="AV1212" s="52"/>
      <c r="AY1212" s="52"/>
    </row>
    <row r="1213" spans="48:51" s="16" customFormat="1" x14ac:dyDescent="0.2">
      <c r="AV1213" s="52"/>
      <c r="AY1213" s="52"/>
    </row>
    <row r="1214" spans="48:51" s="16" customFormat="1" x14ac:dyDescent="0.2">
      <c r="AV1214" s="52"/>
      <c r="AY1214" s="52"/>
    </row>
    <row r="1215" spans="48:51" s="16" customFormat="1" x14ac:dyDescent="0.2">
      <c r="AV1215" s="52"/>
      <c r="AY1215" s="52"/>
    </row>
    <row r="1216" spans="48:51" s="16" customFormat="1" x14ac:dyDescent="0.2">
      <c r="AV1216" s="52"/>
      <c r="AY1216" s="52"/>
    </row>
    <row r="1217" spans="48:51" s="16" customFormat="1" x14ac:dyDescent="0.2">
      <c r="AV1217" s="52"/>
      <c r="AY1217" s="52"/>
    </row>
    <row r="1218" spans="48:51" s="16" customFormat="1" x14ac:dyDescent="0.2">
      <c r="AV1218" s="52"/>
      <c r="AY1218" s="52"/>
    </row>
    <row r="1219" spans="48:51" s="16" customFormat="1" x14ac:dyDescent="0.2">
      <c r="AV1219" s="52"/>
      <c r="AY1219" s="52"/>
    </row>
    <row r="1220" spans="48:51" s="16" customFormat="1" x14ac:dyDescent="0.2">
      <c r="AV1220" s="52"/>
      <c r="AY1220" s="52"/>
    </row>
    <row r="1221" spans="48:51" s="16" customFormat="1" x14ac:dyDescent="0.2">
      <c r="AV1221" s="52"/>
      <c r="AY1221" s="52"/>
    </row>
    <row r="1222" spans="48:51" s="16" customFormat="1" x14ac:dyDescent="0.2">
      <c r="AV1222" s="52"/>
      <c r="AY1222" s="52"/>
    </row>
    <row r="1223" spans="48:51" s="16" customFormat="1" x14ac:dyDescent="0.2">
      <c r="AV1223" s="52"/>
      <c r="AY1223" s="52"/>
    </row>
    <row r="1224" spans="48:51" s="16" customFormat="1" x14ac:dyDescent="0.2">
      <c r="AV1224" s="52"/>
      <c r="AY1224" s="52"/>
    </row>
    <row r="1225" spans="48:51" s="16" customFormat="1" x14ac:dyDescent="0.2">
      <c r="AV1225" s="52"/>
      <c r="AY1225" s="52"/>
    </row>
    <row r="1226" spans="48:51" s="16" customFormat="1" x14ac:dyDescent="0.2">
      <c r="AV1226" s="52"/>
      <c r="AY1226" s="52"/>
    </row>
    <row r="1227" spans="48:51" s="16" customFormat="1" x14ac:dyDescent="0.2">
      <c r="AV1227" s="52"/>
      <c r="AY1227" s="52"/>
    </row>
    <row r="1228" spans="48:51" s="16" customFormat="1" x14ac:dyDescent="0.2">
      <c r="AV1228" s="52"/>
      <c r="AY1228" s="52"/>
    </row>
    <row r="1229" spans="48:51" s="16" customFormat="1" x14ac:dyDescent="0.2">
      <c r="AV1229" s="52"/>
      <c r="AY1229" s="52"/>
    </row>
    <row r="1230" spans="48:51" s="16" customFormat="1" x14ac:dyDescent="0.2">
      <c r="AV1230" s="52"/>
      <c r="AY1230" s="52"/>
    </row>
    <row r="1231" spans="48:51" s="16" customFormat="1" x14ac:dyDescent="0.2">
      <c r="AV1231" s="52"/>
      <c r="AY1231" s="52"/>
    </row>
    <row r="1232" spans="48:51" s="16" customFormat="1" x14ac:dyDescent="0.2">
      <c r="AV1232" s="52"/>
      <c r="AY1232" s="52"/>
    </row>
    <row r="1233" spans="48:51" s="16" customFormat="1" x14ac:dyDescent="0.2">
      <c r="AV1233" s="52"/>
      <c r="AY1233" s="52"/>
    </row>
    <row r="1234" spans="48:51" s="16" customFormat="1" x14ac:dyDescent="0.2">
      <c r="AV1234" s="52"/>
      <c r="AY1234" s="52"/>
    </row>
    <row r="1235" spans="48:51" s="16" customFormat="1" x14ac:dyDescent="0.2">
      <c r="AV1235" s="52"/>
      <c r="AY1235" s="52"/>
    </row>
    <row r="1236" spans="48:51" s="16" customFormat="1" x14ac:dyDescent="0.2">
      <c r="AV1236" s="52"/>
      <c r="AY1236" s="52"/>
    </row>
    <row r="1237" spans="48:51" s="16" customFormat="1" x14ac:dyDescent="0.2">
      <c r="AV1237" s="52"/>
      <c r="AY1237" s="52"/>
    </row>
    <row r="1238" spans="48:51" s="16" customFormat="1" x14ac:dyDescent="0.2">
      <c r="AV1238" s="52"/>
      <c r="AY1238" s="52"/>
    </row>
    <row r="1239" spans="48:51" s="16" customFormat="1" x14ac:dyDescent="0.2">
      <c r="AV1239" s="52"/>
      <c r="AY1239" s="52"/>
    </row>
    <row r="1240" spans="48:51" s="16" customFormat="1" x14ac:dyDescent="0.2">
      <c r="AV1240" s="52"/>
      <c r="AY1240" s="52"/>
    </row>
    <row r="1241" spans="48:51" s="16" customFormat="1" x14ac:dyDescent="0.2">
      <c r="AV1241" s="52"/>
      <c r="AY1241" s="52"/>
    </row>
    <row r="1242" spans="48:51" s="16" customFormat="1" x14ac:dyDescent="0.2">
      <c r="AV1242" s="52"/>
      <c r="AY1242" s="52"/>
    </row>
    <row r="1243" spans="48:51" s="16" customFormat="1" x14ac:dyDescent="0.2">
      <c r="AV1243" s="52"/>
      <c r="AY1243" s="52"/>
    </row>
    <row r="1244" spans="48:51" s="16" customFormat="1" x14ac:dyDescent="0.2">
      <c r="AV1244" s="52"/>
      <c r="AY1244" s="52"/>
    </row>
    <row r="1245" spans="48:51" s="16" customFormat="1" x14ac:dyDescent="0.2">
      <c r="AV1245" s="52"/>
      <c r="AY1245" s="52"/>
    </row>
    <row r="1246" spans="48:51" s="16" customFormat="1" x14ac:dyDescent="0.2">
      <c r="AV1246" s="52"/>
      <c r="AY1246" s="52"/>
    </row>
    <row r="1247" spans="48:51" s="16" customFormat="1" x14ac:dyDescent="0.2">
      <c r="AV1247" s="52"/>
      <c r="AY1247" s="52"/>
    </row>
    <row r="1248" spans="48:51" s="16" customFormat="1" x14ac:dyDescent="0.2">
      <c r="AV1248" s="52"/>
      <c r="AY1248" s="52"/>
    </row>
    <row r="1249" spans="48:51" s="16" customFormat="1" x14ac:dyDescent="0.2">
      <c r="AV1249" s="52"/>
      <c r="AY1249" s="52"/>
    </row>
    <row r="1250" spans="48:51" s="16" customFormat="1" x14ac:dyDescent="0.2">
      <c r="AV1250" s="52"/>
      <c r="AY1250" s="52"/>
    </row>
    <row r="1251" spans="48:51" s="16" customFormat="1" x14ac:dyDescent="0.2">
      <c r="AV1251" s="52"/>
      <c r="AY1251" s="52"/>
    </row>
    <row r="1252" spans="48:51" s="16" customFormat="1" x14ac:dyDescent="0.2">
      <c r="AV1252" s="52"/>
      <c r="AY1252" s="52"/>
    </row>
    <row r="1253" spans="48:51" s="16" customFormat="1" x14ac:dyDescent="0.2">
      <c r="AV1253" s="52"/>
      <c r="AY1253" s="52"/>
    </row>
    <row r="1254" spans="48:51" s="16" customFormat="1" x14ac:dyDescent="0.2">
      <c r="AV1254" s="52"/>
      <c r="AY1254" s="52"/>
    </row>
    <row r="1255" spans="48:51" s="16" customFormat="1" x14ac:dyDescent="0.2">
      <c r="AV1255" s="52"/>
      <c r="AY1255" s="52"/>
    </row>
    <row r="1256" spans="48:51" s="16" customFormat="1" x14ac:dyDescent="0.2">
      <c r="AV1256" s="52"/>
      <c r="AY1256" s="52"/>
    </row>
    <row r="1257" spans="48:51" s="16" customFormat="1" x14ac:dyDescent="0.2">
      <c r="AV1257" s="52"/>
      <c r="AY1257" s="52"/>
    </row>
    <row r="1258" spans="48:51" s="16" customFormat="1" x14ac:dyDescent="0.2">
      <c r="AV1258" s="52"/>
      <c r="AY1258" s="52"/>
    </row>
    <row r="1259" spans="48:51" s="16" customFormat="1" x14ac:dyDescent="0.2">
      <c r="AV1259" s="52"/>
      <c r="AY1259" s="52"/>
    </row>
    <row r="1260" spans="48:51" s="16" customFormat="1" x14ac:dyDescent="0.2">
      <c r="AV1260" s="52"/>
      <c r="AY1260" s="52"/>
    </row>
    <row r="1261" spans="48:51" s="16" customFormat="1" x14ac:dyDescent="0.2">
      <c r="AV1261" s="52"/>
      <c r="AY1261" s="52"/>
    </row>
    <row r="1262" spans="48:51" s="16" customFormat="1" x14ac:dyDescent="0.2">
      <c r="AV1262" s="52"/>
      <c r="AY1262" s="52"/>
    </row>
    <row r="1263" spans="48:51" s="16" customFormat="1" x14ac:dyDescent="0.2">
      <c r="AV1263" s="52"/>
      <c r="AY1263" s="52"/>
    </row>
    <row r="1264" spans="48:51" s="16" customFormat="1" x14ac:dyDescent="0.2">
      <c r="AV1264" s="52"/>
      <c r="AY1264" s="52"/>
    </row>
    <row r="1265" spans="48:51" s="16" customFormat="1" x14ac:dyDescent="0.2">
      <c r="AV1265" s="52"/>
      <c r="AY1265" s="52"/>
    </row>
    <row r="1266" spans="48:51" s="16" customFormat="1" x14ac:dyDescent="0.2">
      <c r="AV1266" s="52"/>
      <c r="AY1266" s="52"/>
    </row>
    <row r="1267" spans="48:51" s="16" customFormat="1" x14ac:dyDescent="0.2">
      <c r="AV1267" s="52"/>
      <c r="AY1267" s="52"/>
    </row>
    <row r="1268" spans="48:51" s="16" customFormat="1" x14ac:dyDescent="0.2">
      <c r="AV1268" s="52"/>
      <c r="AY1268" s="52"/>
    </row>
    <row r="1269" spans="48:51" s="16" customFormat="1" x14ac:dyDescent="0.2">
      <c r="AV1269" s="52"/>
      <c r="AY1269" s="52"/>
    </row>
    <row r="1270" spans="48:51" s="16" customFormat="1" x14ac:dyDescent="0.2">
      <c r="AV1270" s="52"/>
      <c r="AY1270" s="52"/>
    </row>
    <row r="1271" spans="48:51" s="16" customFormat="1" x14ac:dyDescent="0.2">
      <c r="AV1271" s="52"/>
      <c r="AY1271" s="52"/>
    </row>
    <row r="1272" spans="48:51" s="16" customFormat="1" x14ac:dyDescent="0.2">
      <c r="AV1272" s="52"/>
      <c r="AY1272" s="52"/>
    </row>
    <row r="1273" spans="48:51" s="16" customFormat="1" x14ac:dyDescent="0.2">
      <c r="AV1273" s="52"/>
      <c r="AY1273" s="52"/>
    </row>
    <row r="1274" spans="48:51" s="16" customFormat="1" x14ac:dyDescent="0.2">
      <c r="AV1274" s="52"/>
      <c r="AY1274" s="52"/>
    </row>
    <row r="1275" spans="48:51" s="16" customFormat="1" x14ac:dyDescent="0.2">
      <c r="AV1275" s="52"/>
      <c r="AY1275" s="52"/>
    </row>
    <row r="1276" spans="48:51" s="16" customFormat="1" x14ac:dyDescent="0.2">
      <c r="AV1276" s="52"/>
      <c r="AY1276" s="52"/>
    </row>
    <row r="1277" spans="48:51" s="16" customFormat="1" x14ac:dyDescent="0.2">
      <c r="AV1277" s="52"/>
      <c r="AY1277" s="52"/>
    </row>
    <row r="1278" spans="48:51" s="16" customFormat="1" x14ac:dyDescent="0.2">
      <c r="AV1278" s="52"/>
      <c r="AY1278" s="52"/>
    </row>
    <row r="1279" spans="48:51" s="16" customFormat="1" x14ac:dyDescent="0.2">
      <c r="AV1279" s="52"/>
      <c r="AY1279" s="52"/>
    </row>
    <row r="1280" spans="48:51" s="16" customFormat="1" x14ac:dyDescent="0.2">
      <c r="AV1280" s="52"/>
      <c r="AY1280" s="52"/>
    </row>
    <row r="1281" spans="48:51" s="16" customFormat="1" x14ac:dyDescent="0.2">
      <c r="AV1281" s="52"/>
      <c r="AY1281" s="52"/>
    </row>
    <row r="1282" spans="48:51" s="16" customFormat="1" x14ac:dyDescent="0.2">
      <c r="AV1282" s="52"/>
      <c r="AY1282" s="52"/>
    </row>
    <row r="1283" spans="48:51" s="16" customFormat="1" x14ac:dyDescent="0.2">
      <c r="AV1283" s="52"/>
      <c r="AY1283" s="52"/>
    </row>
    <row r="1284" spans="48:51" s="16" customFormat="1" x14ac:dyDescent="0.2">
      <c r="AV1284" s="52"/>
      <c r="AY1284" s="52"/>
    </row>
    <row r="1285" spans="48:51" s="16" customFormat="1" x14ac:dyDescent="0.2">
      <c r="AV1285" s="52"/>
      <c r="AY1285" s="52"/>
    </row>
    <row r="1286" spans="48:51" s="16" customFormat="1" x14ac:dyDescent="0.2">
      <c r="AV1286" s="52"/>
      <c r="AY1286" s="52"/>
    </row>
    <row r="1287" spans="48:51" s="16" customFormat="1" x14ac:dyDescent="0.2">
      <c r="AV1287" s="52"/>
      <c r="AY1287" s="52"/>
    </row>
    <row r="1288" spans="48:51" s="16" customFormat="1" x14ac:dyDescent="0.2">
      <c r="AV1288" s="52"/>
      <c r="AY1288" s="52"/>
    </row>
    <row r="1289" spans="48:51" s="16" customFormat="1" x14ac:dyDescent="0.2">
      <c r="AV1289" s="52"/>
      <c r="AY1289" s="52"/>
    </row>
    <row r="1290" spans="48:51" s="16" customFormat="1" x14ac:dyDescent="0.2">
      <c r="AV1290" s="52"/>
      <c r="AY1290" s="52"/>
    </row>
    <row r="1291" spans="48:51" s="16" customFormat="1" x14ac:dyDescent="0.2">
      <c r="AV1291" s="52"/>
      <c r="AY1291" s="52"/>
    </row>
    <row r="1292" spans="48:51" s="16" customFormat="1" x14ac:dyDescent="0.2">
      <c r="AV1292" s="52"/>
      <c r="AY1292" s="52"/>
    </row>
    <row r="1293" spans="48:51" s="16" customFormat="1" x14ac:dyDescent="0.2">
      <c r="AV1293" s="52"/>
      <c r="AY1293" s="52"/>
    </row>
    <row r="1294" spans="48:51" s="16" customFormat="1" x14ac:dyDescent="0.2">
      <c r="AV1294" s="52"/>
      <c r="AY1294" s="52"/>
    </row>
    <row r="1295" spans="48:51" s="16" customFormat="1" x14ac:dyDescent="0.2">
      <c r="AV1295" s="52"/>
      <c r="AY1295" s="52"/>
    </row>
    <row r="1296" spans="48:51" s="16" customFormat="1" x14ac:dyDescent="0.2">
      <c r="AV1296" s="52"/>
      <c r="AY1296" s="52"/>
    </row>
    <row r="1297" spans="48:51" s="16" customFormat="1" x14ac:dyDescent="0.2">
      <c r="AV1297" s="52"/>
      <c r="AY1297" s="52"/>
    </row>
    <row r="1298" spans="48:51" s="16" customFormat="1" x14ac:dyDescent="0.2">
      <c r="AV1298" s="52"/>
      <c r="AY1298" s="52"/>
    </row>
    <row r="1299" spans="48:51" s="16" customFormat="1" x14ac:dyDescent="0.2">
      <c r="AV1299" s="52"/>
      <c r="AY1299" s="52"/>
    </row>
    <row r="1300" spans="48:51" s="16" customFormat="1" x14ac:dyDescent="0.2">
      <c r="AV1300" s="52"/>
      <c r="AY1300" s="52"/>
    </row>
    <row r="1301" spans="48:51" s="16" customFormat="1" x14ac:dyDescent="0.2">
      <c r="AV1301" s="52"/>
      <c r="AY1301" s="52"/>
    </row>
    <row r="1302" spans="48:51" s="16" customFormat="1" x14ac:dyDescent="0.2">
      <c r="AV1302" s="52"/>
      <c r="AY1302" s="52"/>
    </row>
    <row r="1303" spans="48:51" s="16" customFormat="1" x14ac:dyDescent="0.2">
      <c r="AV1303" s="52"/>
      <c r="AY1303" s="52"/>
    </row>
    <row r="1304" spans="48:51" s="16" customFormat="1" x14ac:dyDescent="0.2">
      <c r="AV1304" s="52"/>
      <c r="AY1304" s="52"/>
    </row>
    <row r="1305" spans="48:51" s="16" customFormat="1" x14ac:dyDescent="0.2">
      <c r="AV1305" s="52"/>
      <c r="AY1305" s="52"/>
    </row>
    <row r="1306" spans="48:51" s="16" customFormat="1" x14ac:dyDescent="0.2">
      <c r="AV1306" s="52"/>
      <c r="AY1306" s="52"/>
    </row>
    <row r="1307" spans="48:51" s="16" customFormat="1" x14ac:dyDescent="0.2">
      <c r="AV1307" s="52"/>
      <c r="AY1307" s="52"/>
    </row>
    <row r="1308" spans="48:51" s="16" customFormat="1" x14ac:dyDescent="0.2">
      <c r="AV1308" s="52"/>
      <c r="AY1308" s="52"/>
    </row>
    <row r="1309" spans="48:51" s="16" customFormat="1" x14ac:dyDescent="0.2">
      <c r="AV1309" s="52"/>
      <c r="AY1309" s="52"/>
    </row>
    <row r="1310" spans="48:51" s="16" customFormat="1" x14ac:dyDescent="0.2">
      <c r="AV1310" s="52"/>
      <c r="AY1310" s="52"/>
    </row>
    <row r="1311" spans="48:51" s="16" customFormat="1" x14ac:dyDescent="0.2">
      <c r="AV1311" s="52"/>
      <c r="AY1311" s="52"/>
    </row>
    <row r="1312" spans="48:51" s="16" customFormat="1" x14ac:dyDescent="0.2">
      <c r="AV1312" s="52"/>
      <c r="AY1312" s="52"/>
    </row>
    <row r="1313" spans="48:51" s="16" customFormat="1" x14ac:dyDescent="0.2">
      <c r="AV1313" s="52"/>
      <c r="AY1313" s="52"/>
    </row>
    <row r="1314" spans="48:51" s="16" customFormat="1" x14ac:dyDescent="0.2">
      <c r="AV1314" s="52"/>
      <c r="AY1314" s="52"/>
    </row>
    <row r="1315" spans="48:51" s="16" customFormat="1" x14ac:dyDescent="0.2">
      <c r="AV1315" s="52"/>
      <c r="AY1315" s="52"/>
    </row>
    <row r="1316" spans="48:51" s="16" customFormat="1" x14ac:dyDescent="0.2">
      <c r="AV1316" s="52"/>
      <c r="AY1316" s="52"/>
    </row>
    <row r="1317" spans="48:51" s="16" customFormat="1" x14ac:dyDescent="0.2">
      <c r="AV1317" s="52"/>
      <c r="AY1317" s="52"/>
    </row>
    <row r="1318" spans="48:51" s="16" customFormat="1" x14ac:dyDescent="0.2">
      <c r="AV1318" s="52"/>
      <c r="AY1318" s="52"/>
    </row>
    <row r="1319" spans="48:51" s="16" customFormat="1" x14ac:dyDescent="0.2">
      <c r="AV1319" s="52"/>
      <c r="AY1319" s="52"/>
    </row>
    <row r="1320" spans="48:51" s="16" customFormat="1" x14ac:dyDescent="0.2">
      <c r="AV1320" s="52"/>
      <c r="AY1320" s="52"/>
    </row>
    <row r="1321" spans="48:51" s="16" customFormat="1" x14ac:dyDescent="0.2">
      <c r="AV1321" s="52"/>
      <c r="AY1321" s="52"/>
    </row>
    <row r="1322" spans="48:51" s="16" customFormat="1" x14ac:dyDescent="0.2">
      <c r="AV1322" s="52"/>
      <c r="AY1322" s="52"/>
    </row>
    <row r="1323" spans="48:51" s="16" customFormat="1" x14ac:dyDescent="0.2">
      <c r="AV1323" s="52"/>
      <c r="AY1323" s="52"/>
    </row>
    <row r="1324" spans="48:51" s="16" customFormat="1" x14ac:dyDescent="0.2">
      <c r="AV1324" s="52"/>
      <c r="AY1324" s="52"/>
    </row>
    <row r="1325" spans="48:51" s="16" customFormat="1" x14ac:dyDescent="0.2">
      <c r="AV1325" s="52"/>
      <c r="AY1325" s="52"/>
    </row>
    <row r="1326" spans="48:51" s="16" customFormat="1" x14ac:dyDescent="0.2">
      <c r="AV1326" s="52"/>
      <c r="AY1326" s="52"/>
    </row>
    <row r="1327" spans="48:51" s="16" customFormat="1" x14ac:dyDescent="0.2">
      <c r="AV1327" s="52"/>
      <c r="AY1327" s="52"/>
    </row>
    <row r="1328" spans="48:51" s="16" customFormat="1" x14ac:dyDescent="0.2">
      <c r="AV1328" s="52"/>
      <c r="AY1328" s="52"/>
    </row>
    <row r="1329" spans="48:51" s="16" customFormat="1" x14ac:dyDescent="0.2">
      <c r="AV1329" s="52"/>
      <c r="AY1329" s="52"/>
    </row>
    <row r="1330" spans="48:51" s="16" customFormat="1" x14ac:dyDescent="0.2">
      <c r="AV1330" s="52"/>
      <c r="AY1330" s="52"/>
    </row>
    <row r="1331" spans="48:51" s="16" customFormat="1" x14ac:dyDescent="0.2">
      <c r="AV1331" s="52"/>
      <c r="AY1331" s="52"/>
    </row>
    <row r="1332" spans="48:51" s="16" customFormat="1" x14ac:dyDescent="0.2">
      <c r="AV1332" s="52"/>
      <c r="AY1332" s="52"/>
    </row>
    <row r="1333" spans="48:51" s="16" customFormat="1" x14ac:dyDescent="0.2">
      <c r="AV1333" s="52"/>
      <c r="AY1333" s="52"/>
    </row>
    <row r="1334" spans="48:51" s="16" customFormat="1" x14ac:dyDescent="0.2">
      <c r="AV1334" s="52"/>
      <c r="AY1334" s="52"/>
    </row>
    <row r="1335" spans="48:51" s="16" customFormat="1" x14ac:dyDescent="0.2">
      <c r="AV1335" s="52"/>
      <c r="AY1335" s="52"/>
    </row>
    <row r="1336" spans="48:51" s="16" customFormat="1" x14ac:dyDescent="0.2">
      <c r="AV1336" s="52"/>
      <c r="AY1336" s="52"/>
    </row>
    <row r="1337" spans="48:51" s="16" customFormat="1" x14ac:dyDescent="0.2">
      <c r="AV1337" s="52"/>
      <c r="AY1337" s="52"/>
    </row>
    <row r="1338" spans="48:51" s="16" customFormat="1" x14ac:dyDescent="0.2">
      <c r="AV1338" s="52"/>
      <c r="AY1338" s="52"/>
    </row>
    <row r="1339" spans="48:51" s="16" customFormat="1" x14ac:dyDescent="0.2">
      <c r="AV1339" s="52"/>
      <c r="AY1339" s="52"/>
    </row>
    <row r="1340" spans="48:51" s="16" customFormat="1" x14ac:dyDescent="0.2">
      <c r="AV1340" s="52"/>
      <c r="AY1340" s="52"/>
    </row>
    <row r="1341" spans="48:51" s="16" customFormat="1" x14ac:dyDescent="0.2">
      <c r="AV1341" s="52"/>
      <c r="AY1341" s="52"/>
    </row>
    <row r="1342" spans="48:51" s="16" customFormat="1" x14ac:dyDescent="0.2">
      <c r="AV1342" s="52"/>
      <c r="AY1342" s="52"/>
    </row>
    <row r="1343" spans="48:51" s="16" customFormat="1" x14ac:dyDescent="0.2">
      <c r="AV1343" s="52"/>
      <c r="AY1343" s="52"/>
    </row>
    <row r="1344" spans="48:51" s="16" customFormat="1" x14ac:dyDescent="0.2">
      <c r="AV1344" s="52"/>
      <c r="AY1344" s="52"/>
    </row>
    <row r="1345" spans="48:51" s="16" customFormat="1" x14ac:dyDescent="0.2">
      <c r="AV1345" s="52"/>
      <c r="AY1345" s="52"/>
    </row>
    <row r="1346" spans="48:51" s="16" customFormat="1" x14ac:dyDescent="0.2">
      <c r="AV1346" s="52"/>
      <c r="AY1346" s="52"/>
    </row>
    <row r="1347" spans="48:51" s="16" customFormat="1" x14ac:dyDescent="0.2">
      <c r="AV1347" s="52"/>
      <c r="AY1347" s="52"/>
    </row>
    <row r="1348" spans="48:51" s="16" customFormat="1" x14ac:dyDescent="0.2">
      <c r="AV1348" s="52"/>
      <c r="AY1348" s="52"/>
    </row>
    <row r="1349" spans="48:51" s="16" customFormat="1" x14ac:dyDescent="0.2">
      <c r="AV1349" s="52"/>
      <c r="AY1349" s="52"/>
    </row>
    <row r="1350" spans="48:51" s="16" customFormat="1" x14ac:dyDescent="0.2">
      <c r="AV1350" s="52"/>
      <c r="AY1350" s="52"/>
    </row>
    <row r="1351" spans="48:51" s="16" customFormat="1" x14ac:dyDescent="0.2">
      <c r="AV1351" s="52"/>
      <c r="AY1351" s="52"/>
    </row>
    <row r="1352" spans="48:51" s="16" customFormat="1" x14ac:dyDescent="0.2">
      <c r="AV1352" s="52"/>
      <c r="AY1352" s="52"/>
    </row>
    <row r="1353" spans="48:51" s="16" customFormat="1" x14ac:dyDescent="0.2">
      <c r="AV1353" s="52"/>
      <c r="AY1353" s="52"/>
    </row>
    <row r="1354" spans="48:51" s="16" customFormat="1" x14ac:dyDescent="0.2">
      <c r="AV1354" s="52"/>
      <c r="AY1354" s="52"/>
    </row>
    <row r="1355" spans="48:51" s="16" customFormat="1" x14ac:dyDescent="0.2">
      <c r="AV1355" s="52"/>
      <c r="AY1355" s="52"/>
    </row>
    <row r="1356" spans="48:51" s="16" customFormat="1" x14ac:dyDescent="0.2">
      <c r="AV1356" s="52"/>
      <c r="AY1356" s="52"/>
    </row>
    <row r="1357" spans="48:51" s="16" customFormat="1" x14ac:dyDescent="0.2">
      <c r="AV1357" s="52"/>
      <c r="AY1357" s="52"/>
    </row>
    <row r="1358" spans="48:51" s="16" customFormat="1" x14ac:dyDescent="0.2">
      <c r="AV1358" s="52"/>
      <c r="AY1358" s="52"/>
    </row>
    <row r="1359" spans="48:51" s="16" customFormat="1" x14ac:dyDescent="0.2">
      <c r="AV1359" s="52"/>
      <c r="AY1359" s="52"/>
    </row>
    <row r="1360" spans="48:51" s="16" customFormat="1" x14ac:dyDescent="0.2">
      <c r="AV1360" s="52"/>
      <c r="AY1360" s="52"/>
    </row>
    <row r="1361" spans="48:51" s="16" customFormat="1" x14ac:dyDescent="0.2">
      <c r="AV1361" s="52"/>
      <c r="AY1361" s="52"/>
    </row>
    <row r="1362" spans="48:51" s="16" customFormat="1" x14ac:dyDescent="0.2">
      <c r="AV1362" s="52"/>
      <c r="AY1362" s="52"/>
    </row>
    <row r="1363" spans="48:51" s="16" customFormat="1" x14ac:dyDescent="0.2">
      <c r="AV1363" s="52"/>
      <c r="AY1363" s="52"/>
    </row>
    <row r="1364" spans="48:51" s="16" customFormat="1" x14ac:dyDescent="0.2">
      <c r="AV1364" s="52"/>
      <c r="AY1364" s="52"/>
    </row>
    <row r="1365" spans="48:51" s="16" customFormat="1" x14ac:dyDescent="0.2">
      <c r="AV1365" s="52"/>
      <c r="AY1365" s="52"/>
    </row>
    <row r="1366" spans="48:51" s="16" customFormat="1" x14ac:dyDescent="0.2">
      <c r="AV1366" s="52"/>
      <c r="AY1366" s="52"/>
    </row>
    <row r="1367" spans="48:51" s="16" customFormat="1" x14ac:dyDescent="0.2">
      <c r="AV1367" s="52"/>
      <c r="AY1367" s="52"/>
    </row>
    <row r="1368" spans="48:51" s="16" customFormat="1" x14ac:dyDescent="0.2">
      <c r="AV1368" s="52"/>
      <c r="AY1368" s="52"/>
    </row>
    <row r="1369" spans="48:51" s="16" customFormat="1" x14ac:dyDescent="0.2">
      <c r="AV1369" s="52"/>
      <c r="AY1369" s="52"/>
    </row>
    <row r="1370" spans="48:51" s="16" customFormat="1" x14ac:dyDescent="0.2">
      <c r="AV1370" s="52"/>
      <c r="AY1370" s="52"/>
    </row>
    <row r="1371" spans="48:51" s="16" customFormat="1" x14ac:dyDescent="0.2">
      <c r="AV1371" s="52"/>
      <c r="AY1371" s="52"/>
    </row>
    <row r="1372" spans="48:51" s="16" customFormat="1" x14ac:dyDescent="0.2">
      <c r="AV1372" s="52"/>
      <c r="AY1372" s="52"/>
    </row>
    <row r="1373" spans="48:51" s="16" customFormat="1" x14ac:dyDescent="0.2">
      <c r="AV1373" s="52"/>
      <c r="AY1373" s="52"/>
    </row>
    <row r="1374" spans="48:51" s="16" customFormat="1" x14ac:dyDescent="0.2">
      <c r="AV1374" s="52"/>
      <c r="AY1374" s="52"/>
    </row>
    <row r="1375" spans="48:51" s="16" customFormat="1" x14ac:dyDescent="0.2">
      <c r="AV1375" s="52"/>
      <c r="AY1375" s="52"/>
    </row>
    <row r="1376" spans="48:51" s="16" customFormat="1" x14ac:dyDescent="0.2">
      <c r="AV1376" s="52"/>
      <c r="AY1376" s="52"/>
    </row>
    <row r="1377" spans="48:51" s="16" customFormat="1" x14ac:dyDescent="0.2">
      <c r="AV1377" s="52"/>
      <c r="AY1377" s="52"/>
    </row>
    <row r="1378" spans="48:51" s="16" customFormat="1" x14ac:dyDescent="0.2">
      <c r="AV1378" s="52"/>
      <c r="AY1378" s="52"/>
    </row>
    <row r="1379" spans="48:51" s="16" customFormat="1" x14ac:dyDescent="0.2">
      <c r="AV1379" s="52"/>
      <c r="AY1379" s="52"/>
    </row>
    <row r="1380" spans="48:51" s="16" customFormat="1" x14ac:dyDescent="0.2">
      <c r="AV1380" s="52"/>
      <c r="AY1380" s="52"/>
    </row>
    <row r="1381" spans="48:51" s="16" customFormat="1" x14ac:dyDescent="0.2">
      <c r="AV1381" s="52"/>
      <c r="AY1381" s="52"/>
    </row>
    <row r="1382" spans="48:51" s="16" customFormat="1" x14ac:dyDescent="0.2">
      <c r="AV1382" s="52"/>
      <c r="AY1382" s="52"/>
    </row>
    <row r="1383" spans="48:51" s="16" customFormat="1" x14ac:dyDescent="0.2">
      <c r="AV1383" s="52"/>
      <c r="AY1383" s="52"/>
    </row>
    <row r="1384" spans="48:51" s="16" customFormat="1" x14ac:dyDescent="0.2">
      <c r="AV1384" s="52"/>
      <c r="AY1384" s="52"/>
    </row>
    <row r="1385" spans="48:51" s="16" customFormat="1" x14ac:dyDescent="0.2">
      <c r="AV1385" s="52"/>
      <c r="AY1385" s="52"/>
    </row>
    <row r="1386" spans="48:51" s="16" customFormat="1" x14ac:dyDescent="0.2">
      <c r="AV1386" s="52"/>
      <c r="AY1386" s="52"/>
    </row>
    <row r="1387" spans="48:51" s="16" customFormat="1" x14ac:dyDescent="0.2">
      <c r="AV1387" s="52"/>
      <c r="AY1387" s="52"/>
    </row>
    <row r="1388" spans="48:51" s="16" customFormat="1" x14ac:dyDescent="0.2">
      <c r="AV1388" s="52"/>
      <c r="AY1388" s="52"/>
    </row>
    <row r="1389" spans="48:51" s="16" customFormat="1" x14ac:dyDescent="0.2">
      <c r="AV1389" s="52"/>
      <c r="AY1389" s="52"/>
    </row>
    <row r="1390" spans="48:51" s="16" customFormat="1" x14ac:dyDescent="0.2">
      <c r="AV1390" s="52"/>
      <c r="AY1390" s="52"/>
    </row>
    <row r="1391" spans="48:51" s="16" customFormat="1" x14ac:dyDescent="0.2">
      <c r="AV1391" s="52"/>
      <c r="AY1391" s="52"/>
    </row>
    <row r="1392" spans="48:51" s="16" customFormat="1" x14ac:dyDescent="0.2">
      <c r="AV1392" s="52"/>
      <c r="AY1392" s="52"/>
    </row>
    <row r="1393" spans="48:51" s="16" customFormat="1" x14ac:dyDescent="0.2">
      <c r="AV1393" s="52"/>
      <c r="AY1393" s="52"/>
    </row>
    <row r="1394" spans="48:51" s="16" customFormat="1" x14ac:dyDescent="0.2">
      <c r="AV1394" s="52"/>
      <c r="AY1394" s="52"/>
    </row>
    <row r="1395" spans="48:51" s="16" customFormat="1" x14ac:dyDescent="0.2">
      <c r="AV1395" s="52"/>
      <c r="AY1395" s="52"/>
    </row>
    <row r="1396" spans="48:51" s="16" customFormat="1" x14ac:dyDescent="0.2">
      <c r="AV1396" s="52"/>
      <c r="AY1396" s="52"/>
    </row>
    <row r="1397" spans="48:51" s="16" customFormat="1" x14ac:dyDescent="0.2">
      <c r="AV1397" s="52"/>
      <c r="AY1397" s="52"/>
    </row>
    <row r="1398" spans="48:51" s="16" customFormat="1" x14ac:dyDescent="0.2">
      <c r="AV1398" s="52"/>
      <c r="AY1398" s="52"/>
    </row>
    <row r="1399" spans="48:51" s="16" customFormat="1" x14ac:dyDescent="0.2">
      <c r="AV1399" s="52"/>
      <c r="AY1399" s="52"/>
    </row>
    <row r="1400" spans="48:51" s="16" customFormat="1" x14ac:dyDescent="0.2">
      <c r="AV1400" s="52"/>
      <c r="AY1400" s="52"/>
    </row>
    <row r="1401" spans="48:51" s="16" customFormat="1" x14ac:dyDescent="0.2">
      <c r="AV1401" s="52"/>
      <c r="AY1401" s="52"/>
    </row>
    <row r="1402" spans="48:51" s="16" customFormat="1" x14ac:dyDescent="0.2">
      <c r="AV1402" s="52"/>
      <c r="AY1402" s="52"/>
    </row>
    <row r="1403" spans="48:51" s="16" customFormat="1" x14ac:dyDescent="0.2">
      <c r="AV1403" s="52"/>
      <c r="AY1403" s="52"/>
    </row>
    <row r="1404" spans="48:51" s="16" customFormat="1" x14ac:dyDescent="0.2">
      <c r="AV1404" s="52"/>
      <c r="AY1404" s="52"/>
    </row>
    <row r="1405" spans="48:51" s="16" customFormat="1" x14ac:dyDescent="0.2">
      <c r="AV1405" s="52"/>
      <c r="AY1405" s="52"/>
    </row>
    <row r="1406" spans="48:51" s="16" customFormat="1" x14ac:dyDescent="0.2">
      <c r="AV1406" s="52"/>
      <c r="AY1406" s="52"/>
    </row>
    <row r="1407" spans="48:51" s="16" customFormat="1" x14ac:dyDescent="0.2">
      <c r="AV1407" s="52"/>
      <c r="AY1407" s="52"/>
    </row>
    <row r="1408" spans="48:51" s="16" customFormat="1" x14ac:dyDescent="0.2">
      <c r="AV1408" s="52"/>
      <c r="AY1408" s="52"/>
    </row>
    <row r="1409" spans="48:51" s="16" customFormat="1" x14ac:dyDescent="0.2">
      <c r="AV1409" s="52"/>
      <c r="AY1409" s="52"/>
    </row>
    <row r="1410" spans="48:51" s="16" customFormat="1" x14ac:dyDescent="0.2">
      <c r="AV1410" s="52"/>
      <c r="AY1410" s="52"/>
    </row>
    <row r="1411" spans="48:51" s="16" customFormat="1" x14ac:dyDescent="0.2">
      <c r="AV1411" s="52"/>
      <c r="AY1411" s="52"/>
    </row>
    <row r="1412" spans="48:51" s="16" customFormat="1" x14ac:dyDescent="0.2">
      <c r="AV1412" s="52"/>
      <c r="AY1412" s="52"/>
    </row>
    <row r="1413" spans="48:51" s="16" customFormat="1" x14ac:dyDescent="0.2">
      <c r="AV1413" s="52"/>
      <c r="AY1413" s="52"/>
    </row>
    <row r="1414" spans="48:51" s="16" customFormat="1" x14ac:dyDescent="0.2">
      <c r="AV1414" s="52"/>
      <c r="AY1414" s="52"/>
    </row>
    <row r="1415" spans="48:51" s="16" customFormat="1" x14ac:dyDescent="0.2">
      <c r="AV1415" s="52"/>
      <c r="AY1415" s="52"/>
    </row>
    <row r="1416" spans="48:51" s="16" customFormat="1" x14ac:dyDescent="0.2">
      <c r="AV1416" s="52"/>
      <c r="AY1416" s="52"/>
    </row>
    <row r="1417" spans="48:51" s="16" customFormat="1" x14ac:dyDescent="0.2">
      <c r="AV1417" s="52"/>
      <c r="AY1417" s="52"/>
    </row>
    <row r="1418" spans="48:51" s="16" customFormat="1" x14ac:dyDescent="0.2">
      <c r="AV1418" s="52"/>
      <c r="AY1418" s="52"/>
    </row>
    <row r="1419" spans="48:51" s="16" customFormat="1" x14ac:dyDescent="0.2">
      <c r="AV1419" s="52"/>
      <c r="AY1419" s="52"/>
    </row>
    <row r="1420" spans="48:51" s="16" customFormat="1" x14ac:dyDescent="0.2">
      <c r="AV1420" s="52"/>
      <c r="AY1420" s="52"/>
    </row>
    <row r="1421" spans="48:51" s="16" customFormat="1" x14ac:dyDescent="0.2">
      <c r="AV1421" s="52"/>
      <c r="AY1421" s="52"/>
    </row>
    <row r="1422" spans="48:51" s="16" customFormat="1" x14ac:dyDescent="0.2">
      <c r="AV1422" s="52"/>
      <c r="AY1422" s="52"/>
    </row>
    <row r="1423" spans="48:51" s="16" customFormat="1" x14ac:dyDescent="0.2">
      <c r="AV1423" s="52"/>
      <c r="AY1423" s="52"/>
    </row>
    <row r="1424" spans="48:51" s="16" customFormat="1" x14ac:dyDescent="0.2">
      <c r="AV1424" s="52"/>
      <c r="AY1424" s="52"/>
    </row>
    <row r="1425" spans="48:51" s="16" customFormat="1" x14ac:dyDescent="0.2">
      <c r="AV1425" s="52"/>
      <c r="AY1425" s="52"/>
    </row>
    <row r="1426" spans="48:51" s="16" customFormat="1" x14ac:dyDescent="0.2">
      <c r="AV1426" s="52"/>
      <c r="AY1426" s="52"/>
    </row>
    <row r="1427" spans="48:51" s="16" customFormat="1" x14ac:dyDescent="0.2">
      <c r="AV1427" s="52"/>
      <c r="AY1427" s="52"/>
    </row>
    <row r="1428" spans="48:51" s="16" customFormat="1" x14ac:dyDescent="0.2">
      <c r="AV1428" s="52"/>
      <c r="AY1428" s="52"/>
    </row>
    <row r="1429" spans="48:51" s="16" customFormat="1" x14ac:dyDescent="0.2">
      <c r="AV1429" s="52"/>
      <c r="AY1429" s="52"/>
    </row>
    <row r="1430" spans="48:51" s="16" customFormat="1" x14ac:dyDescent="0.2">
      <c r="AV1430" s="52"/>
      <c r="AY1430" s="52"/>
    </row>
    <row r="1431" spans="48:51" s="16" customFormat="1" x14ac:dyDescent="0.2">
      <c r="AV1431" s="52"/>
      <c r="AY1431" s="52"/>
    </row>
    <row r="1432" spans="48:51" s="16" customFormat="1" x14ac:dyDescent="0.2">
      <c r="AV1432" s="52"/>
      <c r="AY1432" s="52"/>
    </row>
    <row r="1433" spans="48:51" s="16" customFormat="1" x14ac:dyDescent="0.2">
      <c r="AV1433" s="52"/>
      <c r="AY1433" s="52"/>
    </row>
    <row r="1434" spans="48:51" s="16" customFormat="1" x14ac:dyDescent="0.2">
      <c r="AV1434" s="52"/>
      <c r="AY1434" s="52"/>
    </row>
    <row r="1435" spans="48:51" s="16" customFormat="1" x14ac:dyDescent="0.2">
      <c r="AV1435" s="52"/>
      <c r="AY1435" s="52"/>
    </row>
    <row r="1436" spans="48:51" s="16" customFormat="1" x14ac:dyDescent="0.2">
      <c r="AV1436" s="52"/>
      <c r="AY1436" s="52"/>
    </row>
    <row r="1437" spans="48:51" s="16" customFormat="1" x14ac:dyDescent="0.2">
      <c r="AV1437" s="52"/>
      <c r="AY1437" s="52"/>
    </row>
    <row r="1438" spans="48:51" s="16" customFormat="1" x14ac:dyDescent="0.2">
      <c r="AV1438" s="52"/>
      <c r="AY1438" s="52"/>
    </row>
    <row r="1439" spans="48:51" s="16" customFormat="1" x14ac:dyDescent="0.2">
      <c r="AV1439" s="52"/>
      <c r="AY1439" s="52"/>
    </row>
    <row r="1440" spans="48:51" s="16" customFormat="1" x14ac:dyDescent="0.2">
      <c r="AV1440" s="52"/>
      <c r="AY1440" s="52"/>
    </row>
    <row r="1441" spans="48:51" s="16" customFormat="1" x14ac:dyDescent="0.2">
      <c r="AV1441" s="52"/>
      <c r="AY1441" s="52"/>
    </row>
    <row r="1442" spans="48:51" s="16" customFormat="1" x14ac:dyDescent="0.2">
      <c r="AV1442" s="52"/>
      <c r="AY1442" s="52"/>
    </row>
    <row r="1443" spans="48:51" s="16" customFormat="1" x14ac:dyDescent="0.2">
      <c r="AV1443" s="52"/>
      <c r="AY1443" s="52"/>
    </row>
    <row r="1444" spans="48:51" s="16" customFormat="1" x14ac:dyDescent="0.2">
      <c r="AV1444" s="52"/>
      <c r="AY1444" s="52"/>
    </row>
    <row r="1445" spans="48:51" s="16" customFormat="1" x14ac:dyDescent="0.2">
      <c r="AV1445" s="52"/>
      <c r="AY1445" s="52"/>
    </row>
    <row r="1446" spans="48:51" s="16" customFormat="1" x14ac:dyDescent="0.2">
      <c r="AV1446" s="52"/>
      <c r="AY1446" s="52"/>
    </row>
    <row r="1447" spans="48:51" s="16" customFormat="1" x14ac:dyDescent="0.2">
      <c r="AV1447" s="52"/>
      <c r="AY1447" s="52"/>
    </row>
    <row r="1448" spans="48:51" s="16" customFormat="1" x14ac:dyDescent="0.2">
      <c r="AV1448" s="52"/>
      <c r="AY1448" s="52"/>
    </row>
    <row r="1449" spans="48:51" s="16" customFormat="1" x14ac:dyDescent="0.2">
      <c r="AV1449" s="52"/>
      <c r="AY1449" s="52"/>
    </row>
    <row r="1450" spans="48:51" s="16" customFormat="1" x14ac:dyDescent="0.2">
      <c r="AV1450" s="52"/>
      <c r="AY1450" s="52"/>
    </row>
    <row r="1451" spans="48:51" s="16" customFormat="1" x14ac:dyDescent="0.2">
      <c r="AV1451" s="52"/>
      <c r="AY1451" s="52"/>
    </row>
    <row r="1452" spans="48:51" s="16" customFormat="1" x14ac:dyDescent="0.2">
      <c r="AV1452" s="52"/>
      <c r="AY1452" s="52"/>
    </row>
    <row r="1453" spans="48:51" s="16" customFormat="1" x14ac:dyDescent="0.2">
      <c r="AV1453" s="52"/>
      <c r="AY1453" s="52"/>
    </row>
    <row r="1454" spans="48:51" s="16" customFormat="1" x14ac:dyDescent="0.2">
      <c r="AV1454" s="52"/>
      <c r="AY1454" s="52"/>
    </row>
    <row r="1455" spans="48:51" s="16" customFormat="1" x14ac:dyDescent="0.2">
      <c r="AV1455" s="52"/>
      <c r="AY1455" s="52"/>
    </row>
    <row r="1456" spans="48:51" s="16" customFormat="1" x14ac:dyDescent="0.2">
      <c r="AV1456" s="52"/>
      <c r="AY1456" s="52"/>
    </row>
    <row r="1457" spans="48:51" s="16" customFormat="1" x14ac:dyDescent="0.2">
      <c r="AV1457" s="52"/>
      <c r="AY1457" s="52"/>
    </row>
    <row r="1458" spans="48:51" s="16" customFormat="1" x14ac:dyDescent="0.2">
      <c r="AV1458" s="52"/>
      <c r="AY1458" s="52"/>
    </row>
    <row r="1459" spans="48:51" s="16" customFormat="1" x14ac:dyDescent="0.2">
      <c r="AV1459" s="52"/>
      <c r="AY1459" s="52"/>
    </row>
    <row r="1460" spans="48:51" s="16" customFormat="1" x14ac:dyDescent="0.2">
      <c r="AV1460" s="52"/>
      <c r="AY1460" s="52"/>
    </row>
    <row r="1461" spans="48:51" s="16" customFormat="1" x14ac:dyDescent="0.2">
      <c r="AV1461" s="52"/>
      <c r="AY1461" s="52"/>
    </row>
    <row r="1462" spans="48:51" s="16" customFormat="1" x14ac:dyDescent="0.2">
      <c r="AV1462" s="52"/>
      <c r="AY1462" s="52"/>
    </row>
    <row r="1463" spans="48:51" s="16" customFormat="1" x14ac:dyDescent="0.2">
      <c r="AV1463" s="52"/>
      <c r="AY1463" s="52"/>
    </row>
    <row r="1464" spans="48:51" s="16" customFormat="1" x14ac:dyDescent="0.2">
      <c r="AV1464" s="52"/>
      <c r="AY1464" s="52"/>
    </row>
    <row r="1465" spans="48:51" s="16" customFormat="1" x14ac:dyDescent="0.2">
      <c r="AV1465" s="52"/>
      <c r="AY1465" s="52"/>
    </row>
    <row r="1466" spans="48:51" s="16" customFormat="1" x14ac:dyDescent="0.2">
      <c r="AV1466" s="52"/>
      <c r="AY1466" s="52"/>
    </row>
    <row r="1467" spans="48:51" s="16" customFormat="1" x14ac:dyDescent="0.2">
      <c r="AV1467" s="52"/>
      <c r="AY1467" s="52"/>
    </row>
    <row r="1468" spans="48:51" s="16" customFormat="1" x14ac:dyDescent="0.2">
      <c r="AV1468" s="52"/>
      <c r="AY1468" s="52"/>
    </row>
    <row r="1469" spans="48:51" s="16" customFormat="1" x14ac:dyDescent="0.2">
      <c r="AV1469" s="52"/>
      <c r="AY1469" s="52"/>
    </row>
    <row r="1470" spans="48:51" s="16" customFormat="1" x14ac:dyDescent="0.2">
      <c r="AV1470" s="52"/>
      <c r="AY1470" s="52"/>
    </row>
    <row r="1471" spans="48:51" s="16" customFormat="1" x14ac:dyDescent="0.2">
      <c r="AV1471" s="52"/>
      <c r="AY1471" s="52"/>
    </row>
    <row r="1472" spans="48:51" s="16" customFormat="1" x14ac:dyDescent="0.2">
      <c r="AV1472" s="52"/>
      <c r="AY1472" s="52"/>
    </row>
    <row r="1473" spans="48:51" s="16" customFormat="1" x14ac:dyDescent="0.2">
      <c r="AV1473" s="52"/>
      <c r="AY1473" s="52"/>
    </row>
    <row r="1474" spans="48:51" s="16" customFormat="1" x14ac:dyDescent="0.2">
      <c r="AV1474" s="52"/>
      <c r="AY1474" s="52"/>
    </row>
    <row r="1475" spans="48:51" s="16" customFormat="1" x14ac:dyDescent="0.2">
      <c r="AV1475" s="52"/>
      <c r="AY1475" s="52"/>
    </row>
    <row r="1476" spans="48:51" s="16" customFormat="1" x14ac:dyDescent="0.2">
      <c r="AV1476" s="52"/>
      <c r="AY1476" s="52"/>
    </row>
    <row r="1477" spans="48:51" s="16" customFormat="1" x14ac:dyDescent="0.2">
      <c r="AV1477" s="52"/>
      <c r="AY1477" s="52"/>
    </row>
    <row r="1478" spans="48:51" s="16" customFormat="1" x14ac:dyDescent="0.2">
      <c r="AV1478" s="52"/>
      <c r="AY1478" s="52"/>
    </row>
    <row r="1479" spans="48:51" s="16" customFormat="1" x14ac:dyDescent="0.2">
      <c r="AV1479" s="52"/>
      <c r="AY1479" s="52"/>
    </row>
    <row r="1480" spans="48:51" s="16" customFormat="1" x14ac:dyDescent="0.2">
      <c r="AV1480" s="52"/>
      <c r="AY1480" s="52"/>
    </row>
    <row r="1481" spans="48:51" s="16" customFormat="1" x14ac:dyDescent="0.2">
      <c r="AV1481" s="52"/>
      <c r="AY1481" s="52"/>
    </row>
    <row r="1482" spans="48:51" s="16" customFormat="1" x14ac:dyDescent="0.2">
      <c r="AV1482" s="52"/>
      <c r="AY1482" s="52"/>
    </row>
    <row r="1483" spans="48:51" s="16" customFormat="1" x14ac:dyDescent="0.2">
      <c r="AV1483" s="52"/>
      <c r="AY1483" s="52"/>
    </row>
    <row r="1484" spans="48:51" s="16" customFormat="1" x14ac:dyDescent="0.2">
      <c r="AV1484" s="52"/>
      <c r="AY1484" s="52"/>
    </row>
    <row r="1485" spans="48:51" s="16" customFormat="1" x14ac:dyDescent="0.2">
      <c r="AV1485" s="52"/>
      <c r="AY1485" s="52"/>
    </row>
    <row r="1486" spans="48:51" s="16" customFormat="1" x14ac:dyDescent="0.2">
      <c r="AV1486" s="52"/>
      <c r="AY1486" s="52"/>
    </row>
    <row r="1487" spans="48:51" s="16" customFormat="1" x14ac:dyDescent="0.2">
      <c r="AV1487" s="52"/>
      <c r="AY1487" s="52"/>
    </row>
    <row r="1488" spans="48:51" s="16" customFormat="1" x14ac:dyDescent="0.2">
      <c r="AV1488" s="52"/>
      <c r="AY1488" s="52"/>
    </row>
    <row r="1489" spans="48:51" s="16" customFormat="1" x14ac:dyDescent="0.2">
      <c r="AV1489" s="52"/>
      <c r="AY1489" s="52"/>
    </row>
    <row r="1490" spans="48:51" s="16" customFormat="1" x14ac:dyDescent="0.2">
      <c r="AV1490" s="52"/>
      <c r="AY1490" s="52"/>
    </row>
    <row r="1491" spans="48:51" s="16" customFormat="1" x14ac:dyDescent="0.2">
      <c r="AV1491" s="52"/>
      <c r="AY1491" s="52"/>
    </row>
    <row r="1492" spans="48:51" s="16" customFormat="1" x14ac:dyDescent="0.2">
      <c r="AV1492" s="52"/>
      <c r="AY1492" s="52"/>
    </row>
    <row r="1493" spans="48:51" s="16" customFormat="1" x14ac:dyDescent="0.2">
      <c r="AV1493" s="52"/>
      <c r="AY1493" s="52"/>
    </row>
    <row r="1494" spans="48:51" s="16" customFormat="1" x14ac:dyDescent="0.2">
      <c r="AV1494" s="52"/>
      <c r="AY1494" s="52"/>
    </row>
    <row r="1495" spans="48:51" s="16" customFormat="1" x14ac:dyDescent="0.2">
      <c r="AV1495" s="52"/>
      <c r="AY1495" s="52"/>
    </row>
    <row r="1496" spans="48:51" s="16" customFormat="1" x14ac:dyDescent="0.2">
      <c r="AV1496" s="52"/>
      <c r="AY1496" s="52"/>
    </row>
    <row r="1497" spans="48:51" s="16" customFormat="1" x14ac:dyDescent="0.2">
      <c r="AV1497" s="52"/>
      <c r="AY1497" s="52"/>
    </row>
    <row r="1498" spans="48:51" s="16" customFormat="1" x14ac:dyDescent="0.2">
      <c r="AV1498" s="52"/>
      <c r="AY1498" s="52"/>
    </row>
    <row r="1499" spans="48:51" s="16" customFormat="1" x14ac:dyDescent="0.2">
      <c r="AV1499" s="52"/>
      <c r="AY1499" s="52"/>
    </row>
    <row r="1500" spans="48:51" s="16" customFormat="1" x14ac:dyDescent="0.2">
      <c r="AV1500" s="52"/>
      <c r="AY1500" s="52"/>
    </row>
    <row r="1501" spans="48:51" s="16" customFormat="1" x14ac:dyDescent="0.2">
      <c r="AV1501" s="52"/>
      <c r="AY1501" s="52"/>
    </row>
    <row r="1502" spans="48:51" s="16" customFormat="1" x14ac:dyDescent="0.2">
      <c r="AV1502" s="52"/>
      <c r="AY1502" s="52"/>
    </row>
    <row r="1503" spans="48:51" s="16" customFormat="1" x14ac:dyDescent="0.2">
      <c r="AV1503" s="52"/>
      <c r="AY1503" s="52"/>
    </row>
    <row r="1504" spans="48:51" s="16" customFormat="1" x14ac:dyDescent="0.2">
      <c r="AV1504" s="52"/>
      <c r="AY1504" s="52"/>
    </row>
    <row r="1505" spans="48:51" s="16" customFormat="1" x14ac:dyDescent="0.2">
      <c r="AV1505" s="52"/>
      <c r="AY1505" s="52"/>
    </row>
    <row r="1506" spans="48:51" s="16" customFormat="1" x14ac:dyDescent="0.2">
      <c r="AV1506" s="52"/>
      <c r="AY1506" s="52"/>
    </row>
    <row r="1507" spans="48:51" s="16" customFormat="1" x14ac:dyDescent="0.2">
      <c r="AV1507" s="52"/>
      <c r="AY1507" s="52"/>
    </row>
    <row r="1508" spans="48:51" s="16" customFormat="1" x14ac:dyDescent="0.2">
      <c r="AV1508" s="52"/>
      <c r="AY1508" s="52"/>
    </row>
    <row r="1509" spans="48:51" s="16" customFormat="1" x14ac:dyDescent="0.2">
      <c r="AV1509" s="52"/>
      <c r="AY1509" s="52"/>
    </row>
    <row r="1510" spans="48:51" s="16" customFormat="1" x14ac:dyDescent="0.2">
      <c r="AV1510" s="52"/>
      <c r="AY1510" s="52"/>
    </row>
    <row r="1511" spans="48:51" s="16" customFormat="1" x14ac:dyDescent="0.2">
      <c r="AV1511" s="52"/>
      <c r="AY1511" s="52"/>
    </row>
    <row r="1512" spans="48:51" s="16" customFormat="1" x14ac:dyDescent="0.2">
      <c r="AV1512" s="52"/>
      <c r="AY1512" s="52"/>
    </row>
    <row r="1513" spans="48:51" s="16" customFormat="1" x14ac:dyDescent="0.2">
      <c r="AV1513" s="52"/>
      <c r="AY1513" s="52"/>
    </row>
    <row r="1514" spans="48:51" s="16" customFormat="1" x14ac:dyDescent="0.2">
      <c r="AV1514" s="52"/>
      <c r="AY1514" s="52"/>
    </row>
    <row r="1515" spans="48:51" s="16" customFormat="1" x14ac:dyDescent="0.2">
      <c r="AV1515" s="52"/>
      <c r="AY1515" s="52"/>
    </row>
    <row r="1516" spans="48:51" s="16" customFormat="1" x14ac:dyDescent="0.2">
      <c r="AV1516" s="52"/>
      <c r="AY1516" s="52"/>
    </row>
    <row r="1517" spans="48:51" s="16" customFormat="1" x14ac:dyDescent="0.2">
      <c r="AV1517" s="52"/>
      <c r="AY1517" s="52"/>
    </row>
    <row r="1518" spans="48:51" s="16" customFormat="1" x14ac:dyDescent="0.2">
      <c r="AV1518" s="52"/>
      <c r="AY1518" s="52"/>
    </row>
    <row r="1519" spans="48:51" s="16" customFormat="1" x14ac:dyDescent="0.2">
      <c r="AV1519" s="52"/>
      <c r="AY1519" s="52"/>
    </row>
    <row r="1520" spans="48:51" s="16" customFormat="1" x14ac:dyDescent="0.2">
      <c r="AV1520" s="52"/>
      <c r="AY1520" s="52"/>
    </row>
    <row r="1521" spans="48:51" s="16" customFormat="1" x14ac:dyDescent="0.2">
      <c r="AV1521" s="52"/>
      <c r="AY1521" s="52"/>
    </row>
    <row r="1522" spans="48:51" s="16" customFormat="1" x14ac:dyDescent="0.2">
      <c r="AV1522" s="52"/>
      <c r="AY1522" s="52"/>
    </row>
    <row r="1523" spans="48:51" s="16" customFormat="1" x14ac:dyDescent="0.2">
      <c r="AV1523" s="52"/>
      <c r="AY1523" s="52"/>
    </row>
    <row r="1524" spans="48:51" s="16" customFormat="1" x14ac:dyDescent="0.2">
      <c r="AV1524" s="52"/>
      <c r="AY1524" s="52"/>
    </row>
    <row r="1525" spans="48:51" s="16" customFormat="1" x14ac:dyDescent="0.2">
      <c r="AV1525" s="52"/>
      <c r="AY1525" s="52"/>
    </row>
    <row r="1526" spans="48:51" s="16" customFormat="1" x14ac:dyDescent="0.2">
      <c r="AV1526" s="52"/>
      <c r="AY1526" s="52"/>
    </row>
    <row r="1527" spans="48:51" s="16" customFormat="1" x14ac:dyDescent="0.2">
      <c r="AV1527" s="52"/>
      <c r="AY1527" s="52"/>
    </row>
    <row r="1528" spans="48:51" s="16" customFormat="1" x14ac:dyDescent="0.2">
      <c r="AV1528" s="52"/>
      <c r="AY1528" s="52"/>
    </row>
    <row r="1529" spans="48:51" s="16" customFormat="1" x14ac:dyDescent="0.2">
      <c r="AV1529" s="52"/>
      <c r="AY1529" s="52"/>
    </row>
    <row r="1530" spans="48:51" s="16" customFormat="1" x14ac:dyDescent="0.2">
      <c r="AV1530" s="52"/>
      <c r="AY1530" s="52"/>
    </row>
    <row r="1531" spans="48:51" s="16" customFormat="1" x14ac:dyDescent="0.2">
      <c r="AV1531" s="52"/>
      <c r="AY1531" s="52"/>
    </row>
    <row r="1532" spans="48:51" s="16" customFormat="1" x14ac:dyDescent="0.2">
      <c r="AV1532" s="52"/>
      <c r="AY1532" s="52"/>
    </row>
    <row r="1533" spans="48:51" s="16" customFormat="1" x14ac:dyDescent="0.2">
      <c r="AV1533" s="52"/>
      <c r="AY1533" s="52"/>
    </row>
    <row r="1534" spans="48:51" s="16" customFormat="1" x14ac:dyDescent="0.2">
      <c r="AV1534" s="52"/>
      <c r="AY1534" s="52"/>
    </row>
    <row r="1535" spans="48:51" s="16" customFormat="1" x14ac:dyDescent="0.2">
      <c r="AV1535" s="52"/>
      <c r="AY1535" s="52"/>
    </row>
    <row r="1536" spans="48:51" s="16" customFormat="1" x14ac:dyDescent="0.2">
      <c r="AV1536" s="52"/>
      <c r="AY1536" s="52"/>
    </row>
    <row r="1537" spans="48:51" s="16" customFormat="1" x14ac:dyDescent="0.2">
      <c r="AV1537" s="52"/>
      <c r="AY1537" s="52"/>
    </row>
    <row r="1538" spans="48:51" s="16" customFormat="1" x14ac:dyDescent="0.2">
      <c r="AV1538" s="52"/>
      <c r="AY1538" s="52"/>
    </row>
    <row r="1539" spans="48:51" s="16" customFormat="1" x14ac:dyDescent="0.2">
      <c r="AV1539" s="52"/>
      <c r="AY1539" s="52"/>
    </row>
    <row r="1540" spans="48:51" s="16" customFormat="1" x14ac:dyDescent="0.2">
      <c r="AV1540" s="52"/>
      <c r="AY1540" s="52"/>
    </row>
    <row r="1541" spans="48:51" s="16" customFormat="1" x14ac:dyDescent="0.2">
      <c r="AV1541" s="52"/>
      <c r="AY1541" s="52"/>
    </row>
    <row r="1542" spans="48:51" s="16" customFormat="1" x14ac:dyDescent="0.2">
      <c r="AV1542" s="52"/>
      <c r="AY1542" s="52"/>
    </row>
    <row r="1543" spans="48:51" s="16" customFormat="1" x14ac:dyDescent="0.2">
      <c r="AV1543" s="52"/>
      <c r="AY1543" s="52"/>
    </row>
    <row r="1544" spans="48:51" s="16" customFormat="1" x14ac:dyDescent="0.2">
      <c r="AV1544" s="52"/>
      <c r="AY1544" s="52"/>
    </row>
    <row r="1545" spans="48:51" s="16" customFormat="1" x14ac:dyDescent="0.2">
      <c r="AV1545" s="52"/>
      <c r="AY1545" s="52"/>
    </row>
    <row r="1546" spans="48:51" s="16" customFormat="1" x14ac:dyDescent="0.2">
      <c r="AV1546" s="52"/>
      <c r="AY1546" s="52"/>
    </row>
    <row r="1547" spans="48:51" s="16" customFormat="1" x14ac:dyDescent="0.2">
      <c r="AV1547" s="52"/>
      <c r="AY1547" s="52"/>
    </row>
    <row r="1548" spans="48:51" s="16" customFormat="1" x14ac:dyDescent="0.2">
      <c r="AV1548" s="52"/>
      <c r="AY1548" s="52"/>
    </row>
    <row r="1549" spans="48:51" s="16" customFormat="1" x14ac:dyDescent="0.2">
      <c r="AV1549" s="52"/>
      <c r="AY1549" s="52"/>
    </row>
    <row r="1550" spans="48:51" s="16" customFormat="1" x14ac:dyDescent="0.2">
      <c r="AV1550" s="52"/>
      <c r="AY1550" s="52"/>
    </row>
    <row r="1551" spans="48:51" s="16" customFormat="1" x14ac:dyDescent="0.2">
      <c r="AV1551" s="52"/>
      <c r="AY1551" s="52"/>
    </row>
    <row r="1552" spans="48:51" s="16" customFormat="1" x14ac:dyDescent="0.2">
      <c r="AV1552" s="52"/>
      <c r="AY1552" s="52"/>
    </row>
    <row r="1553" spans="48:51" s="16" customFormat="1" x14ac:dyDescent="0.2">
      <c r="AV1553" s="52"/>
      <c r="AY1553" s="52"/>
    </row>
    <row r="1554" spans="48:51" s="16" customFormat="1" x14ac:dyDescent="0.2">
      <c r="AV1554" s="52"/>
      <c r="AY1554" s="52"/>
    </row>
    <row r="1555" spans="48:51" s="16" customFormat="1" x14ac:dyDescent="0.2">
      <c r="AV1555" s="52"/>
      <c r="AY1555" s="52"/>
    </row>
    <row r="1556" spans="48:51" s="16" customFormat="1" x14ac:dyDescent="0.2">
      <c r="AV1556" s="52"/>
      <c r="AY1556" s="52"/>
    </row>
    <row r="1557" spans="48:51" s="16" customFormat="1" x14ac:dyDescent="0.2">
      <c r="AV1557" s="52"/>
      <c r="AY1557" s="52"/>
    </row>
    <row r="1558" spans="48:51" s="16" customFormat="1" x14ac:dyDescent="0.2">
      <c r="AV1558" s="52"/>
      <c r="AY1558" s="52"/>
    </row>
    <row r="1559" spans="48:51" s="16" customFormat="1" x14ac:dyDescent="0.2">
      <c r="AV1559" s="52"/>
      <c r="AY1559" s="52"/>
    </row>
    <row r="1560" spans="48:51" s="16" customFormat="1" x14ac:dyDescent="0.2">
      <c r="AV1560" s="52"/>
      <c r="AY1560" s="52"/>
    </row>
    <row r="1561" spans="48:51" s="16" customFormat="1" x14ac:dyDescent="0.2">
      <c r="AV1561" s="52"/>
      <c r="AY1561" s="52"/>
    </row>
    <row r="1562" spans="48:51" s="16" customFormat="1" x14ac:dyDescent="0.2">
      <c r="AV1562" s="52"/>
      <c r="AY1562" s="52"/>
    </row>
    <row r="1563" spans="48:51" s="16" customFormat="1" x14ac:dyDescent="0.2">
      <c r="AV1563" s="52"/>
      <c r="AY1563" s="52"/>
    </row>
    <row r="1564" spans="48:51" s="16" customFormat="1" x14ac:dyDescent="0.2">
      <c r="AV1564" s="52"/>
      <c r="AY1564" s="52"/>
    </row>
    <row r="1565" spans="48:51" s="16" customFormat="1" x14ac:dyDescent="0.2">
      <c r="AV1565" s="52"/>
      <c r="AY1565" s="52"/>
    </row>
    <row r="1566" spans="48:51" s="16" customFormat="1" x14ac:dyDescent="0.2">
      <c r="AV1566" s="52"/>
      <c r="AY1566" s="52"/>
    </row>
    <row r="1567" spans="48:51" s="16" customFormat="1" x14ac:dyDescent="0.2">
      <c r="AV1567" s="52"/>
      <c r="AY1567" s="52"/>
    </row>
    <row r="1568" spans="48:51" s="16" customFormat="1" x14ac:dyDescent="0.2">
      <c r="AV1568" s="52"/>
      <c r="AY1568" s="52"/>
    </row>
    <row r="1569" spans="48:51" s="16" customFormat="1" x14ac:dyDescent="0.2">
      <c r="AV1569" s="52"/>
      <c r="AY1569" s="52"/>
    </row>
    <row r="1570" spans="48:51" s="16" customFormat="1" x14ac:dyDescent="0.2">
      <c r="AV1570" s="52"/>
      <c r="AY1570" s="52"/>
    </row>
    <row r="1571" spans="48:51" s="16" customFormat="1" x14ac:dyDescent="0.2">
      <c r="AV1571" s="52"/>
      <c r="AY1571" s="52"/>
    </row>
    <row r="1572" spans="48:51" s="16" customFormat="1" x14ac:dyDescent="0.2">
      <c r="AV1572" s="52"/>
      <c r="AY1572" s="52"/>
    </row>
    <row r="1573" spans="48:51" s="16" customFormat="1" x14ac:dyDescent="0.2">
      <c r="AV1573" s="52"/>
      <c r="AY1573" s="52"/>
    </row>
    <row r="1574" spans="48:51" s="16" customFormat="1" x14ac:dyDescent="0.2">
      <c r="AV1574" s="52"/>
      <c r="AY1574" s="52"/>
    </row>
    <row r="1575" spans="48:51" s="16" customFormat="1" x14ac:dyDescent="0.2">
      <c r="AV1575" s="52"/>
      <c r="AY1575" s="52"/>
    </row>
    <row r="1576" spans="48:51" s="16" customFormat="1" x14ac:dyDescent="0.2">
      <c r="AV1576" s="52"/>
      <c r="AY1576" s="52"/>
    </row>
    <row r="1577" spans="48:51" s="16" customFormat="1" x14ac:dyDescent="0.2">
      <c r="AV1577" s="52"/>
      <c r="AY1577" s="52"/>
    </row>
    <row r="1578" spans="48:51" s="16" customFormat="1" x14ac:dyDescent="0.2">
      <c r="AV1578" s="52"/>
      <c r="AY1578" s="52"/>
    </row>
    <row r="1579" spans="48:51" s="16" customFormat="1" x14ac:dyDescent="0.2">
      <c r="AV1579" s="52"/>
      <c r="AY1579" s="52"/>
    </row>
    <row r="1580" spans="48:51" s="16" customFormat="1" x14ac:dyDescent="0.2">
      <c r="AV1580" s="52"/>
      <c r="AY1580" s="52"/>
    </row>
    <row r="1581" spans="48:51" s="16" customFormat="1" x14ac:dyDescent="0.2">
      <c r="AV1581" s="52"/>
      <c r="AY1581" s="52"/>
    </row>
    <row r="1582" spans="48:51" s="16" customFormat="1" x14ac:dyDescent="0.2">
      <c r="AV1582" s="52"/>
      <c r="AY1582" s="52"/>
    </row>
    <row r="1583" spans="48:51" s="16" customFormat="1" x14ac:dyDescent="0.2">
      <c r="AV1583" s="52"/>
      <c r="AY1583" s="52"/>
    </row>
    <row r="1584" spans="48:51" s="16" customFormat="1" x14ac:dyDescent="0.2">
      <c r="AV1584" s="52"/>
      <c r="AY1584" s="52"/>
    </row>
    <row r="1585" spans="48:51" s="16" customFormat="1" x14ac:dyDescent="0.2">
      <c r="AV1585" s="52"/>
      <c r="AY1585" s="52"/>
    </row>
    <row r="1586" spans="48:51" s="16" customFormat="1" x14ac:dyDescent="0.2">
      <c r="AV1586" s="52"/>
      <c r="AY1586" s="52"/>
    </row>
    <row r="1587" spans="48:51" s="16" customFormat="1" x14ac:dyDescent="0.2">
      <c r="AV1587" s="52"/>
      <c r="AY1587" s="52"/>
    </row>
    <row r="1588" spans="48:51" s="16" customFormat="1" x14ac:dyDescent="0.2">
      <c r="AV1588" s="52"/>
      <c r="AY1588" s="52"/>
    </row>
    <row r="1589" spans="48:51" s="16" customFormat="1" x14ac:dyDescent="0.2">
      <c r="AV1589" s="52"/>
      <c r="AY1589" s="52"/>
    </row>
    <row r="1590" spans="48:51" s="16" customFormat="1" x14ac:dyDescent="0.2">
      <c r="AV1590" s="52"/>
      <c r="AY1590" s="52"/>
    </row>
    <row r="1591" spans="48:51" s="16" customFormat="1" x14ac:dyDescent="0.2">
      <c r="AV1591" s="52"/>
      <c r="AY1591" s="52"/>
    </row>
    <row r="1592" spans="48:51" s="16" customFormat="1" x14ac:dyDescent="0.2">
      <c r="AV1592" s="52"/>
      <c r="AY1592" s="52"/>
    </row>
    <row r="1593" spans="48:51" s="16" customFormat="1" x14ac:dyDescent="0.2">
      <c r="AV1593" s="52"/>
      <c r="AY1593" s="52"/>
    </row>
    <row r="1594" spans="48:51" s="16" customFormat="1" x14ac:dyDescent="0.2">
      <c r="AV1594" s="52"/>
      <c r="AY1594" s="52"/>
    </row>
    <row r="1595" spans="48:51" s="16" customFormat="1" x14ac:dyDescent="0.2">
      <c r="AV1595" s="52"/>
      <c r="AY1595" s="52"/>
    </row>
    <row r="1596" spans="48:51" s="16" customFormat="1" x14ac:dyDescent="0.2">
      <c r="AV1596" s="52"/>
      <c r="AY1596" s="52"/>
    </row>
    <row r="1597" spans="48:51" s="16" customFormat="1" x14ac:dyDescent="0.2">
      <c r="AV1597" s="52"/>
      <c r="AY1597" s="52"/>
    </row>
    <row r="1598" spans="48:51" s="16" customFormat="1" x14ac:dyDescent="0.2">
      <c r="AV1598" s="52"/>
      <c r="AY1598" s="52"/>
    </row>
    <row r="1599" spans="48:51" s="16" customFormat="1" x14ac:dyDescent="0.2">
      <c r="AV1599" s="52"/>
      <c r="AY1599" s="52"/>
    </row>
    <row r="1600" spans="48:51" s="16" customFormat="1" x14ac:dyDescent="0.2">
      <c r="AV1600" s="52"/>
      <c r="AY1600" s="52"/>
    </row>
    <row r="1601" spans="48:51" s="16" customFormat="1" x14ac:dyDescent="0.2">
      <c r="AV1601" s="52"/>
      <c r="AY1601" s="52"/>
    </row>
    <row r="1602" spans="48:51" s="16" customFormat="1" x14ac:dyDescent="0.2">
      <c r="AV1602" s="52"/>
      <c r="AY1602" s="52"/>
    </row>
    <row r="1603" spans="48:51" s="16" customFormat="1" x14ac:dyDescent="0.2">
      <c r="AV1603" s="52"/>
      <c r="AY1603" s="52"/>
    </row>
    <row r="1604" spans="48:51" s="16" customFormat="1" x14ac:dyDescent="0.2">
      <c r="AV1604" s="52"/>
      <c r="AY1604" s="52"/>
    </row>
    <row r="1605" spans="48:51" s="16" customFormat="1" x14ac:dyDescent="0.2">
      <c r="AV1605" s="52"/>
      <c r="AY1605" s="52"/>
    </row>
    <row r="1606" spans="48:51" s="16" customFormat="1" x14ac:dyDescent="0.2">
      <c r="AV1606" s="52"/>
      <c r="AY1606" s="52"/>
    </row>
    <row r="1607" spans="48:51" s="16" customFormat="1" x14ac:dyDescent="0.2">
      <c r="AV1607" s="52"/>
      <c r="AY1607" s="52"/>
    </row>
    <row r="1608" spans="48:51" s="16" customFormat="1" x14ac:dyDescent="0.2">
      <c r="AV1608" s="52"/>
      <c r="AY1608" s="52"/>
    </row>
    <row r="1609" spans="48:51" s="16" customFormat="1" x14ac:dyDescent="0.2">
      <c r="AV1609" s="52"/>
      <c r="AY1609" s="52"/>
    </row>
    <row r="1610" spans="48:51" s="16" customFormat="1" x14ac:dyDescent="0.2">
      <c r="AV1610" s="52"/>
      <c r="AY1610" s="52"/>
    </row>
    <row r="1611" spans="48:51" s="16" customFormat="1" x14ac:dyDescent="0.2">
      <c r="AV1611" s="52"/>
      <c r="AY1611" s="52"/>
    </row>
    <row r="1612" spans="48:51" s="16" customFormat="1" x14ac:dyDescent="0.2">
      <c r="AV1612" s="52"/>
      <c r="AY1612" s="52"/>
    </row>
    <row r="1613" spans="48:51" s="16" customFormat="1" x14ac:dyDescent="0.2">
      <c r="AV1613" s="52"/>
      <c r="AY1613" s="52"/>
    </row>
    <row r="1614" spans="48:51" s="16" customFormat="1" x14ac:dyDescent="0.2">
      <c r="AV1614" s="52"/>
      <c r="AY1614" s="52"/>
    </row>
    <row r="1615" spans="48:51" s="16" customFormat="1" x14ac:dyDescent="0.2">
      <c r="AV1615" s="52"/>
      <c r="AY1615" s="52"/>
    </row>
    <row r="1616" spans="48:51" s="16" customFormat="1" x14ac:dyDescent="0.2">
      <c r="AV1616" s="52"/>
      <c r="AY1616" s="52"/>
    </row>
    <row r="1617" spans="48:51" s="16" customFormat="1" x14ac:dyDescent="0.2">
      <c r="AV1617" s="52"/>
      <c r="AY1617" s="52"/>
    </row>
    <row r="1618" spans="48:51" s="16" customFormat="1" x14ac:dyDescent="0.2">
      <c r="AV1618" s="52"/>
      <c r="AY1618" s="52"/>
    </row>
    <row r="1619" spans="48:51" s="16" customFormat="1" x14ac:dyDescent="0.2">
      <c r="AV1619" s="52"/>
      <c r="AY1619" s="52"/>
    </row>
    <row r="1620" spans="48:51" s="16" customFormat="1" x14ac:dyDescent="0.2">
      <c r="AV1620" s="52"/>
      <c r="AY1620" s="52"/>
    </row>
    <row r="1621" spans="48:51" s="16" customFormat="1" x14ac:dyDescent="0.2">
      <c r="AV1621" s="52"/>
      <c r="AY1621" s="52"/>
    </row>
    <row r="1622" spans="48:51" s="16" customFormat="1" x14ac:dyDescent="0.2">
      <c r="AV1622" s="52"/>
      <c r="AY1622" s="52"/>
    </row>
    <row r="1623" spans="48:51" s="16" customFormat="1" x14ac:dyDescent="0.2">
      <c r="AV1623" s="52"/>
      <c r="AY1623" s="52"/>
    </row>
    <row r="1624" spans="48:51" s="16" customFormat="1" x14ac:dyDescent="0.2">
      <c r="AV1624" s="52"/>
      <c r="AY1624" s="52"/>
    </row>
    <row r="1625" spans="48:51" s="16" customFormat="1" x14ac:dyDescent="0.2">
      <c r="AV1625" s="52"/>
      <c r="AY1625" s="52"/>
    </row>
    <row r="1626" spans="48:51" s="16" customFormat="1" x14ac:dyDescent="0.2">
      <c r="AV1626" s="52"/>
      <c r="AY1626" s="52"/>
    </row>
    <row r="1627" spans="48:51" s="16" customFormat="1" x14ac:dyDescent="0.2">
      <c r="AV1627" s="52"/>
      <c r="AY1627" s="52"/>
    </row>
    <row r="1628" spans="48:51" s="16" customFormat="1" x14ac:dyDescent="0.2">
      <c r="AV1628" s="52"/>
      <c r="AY1628" s="52"/>
    </row>
    <row r="1629" spans="48:51" s="16" customFormat="1" x14ac:dyDescent="0.2">
      <c r="AV1629" s="52"/>
      <c r="AY1629" s="52"/>
    </row>
    <row r="1630" spans="48:51" s="16" customFormat="1" x14ac:dyDescent="0.2">
      <c r="AV1630" s="52"/>
      <c r="AY1630" s="52"/>
    </row>
    <row r="1631" spans="48:51" s="16" customFormat="1" x14ac:dyDescent="0.2">
      <c r="AV1631" s="52"/>
      <c r="AY1631" s="52"/>
    </row>
    <row r="1632" spans="48:51" s="16" customFormat="1" x14ac:dyDescent="0.2">
      <c r="AV1632" s="52"/>
      <c r="AY1632" s="52"/>
    </row>
    <row r="1633" spans="48:51" s="16" customFormat="1" x14ac:dyDescent="0.2">
      <c r="AV1633" s="52"/>
      <c r="AY1633" s="52"/>
    </row>
    <row r="1634" spans="48:51" s="16" customFormat="1" x14ac:dyDescent="0.2">
      <c r="AV1634" s="52"/>
      <c r="AY1634" s="52"/>
    </row>
    <row r="1635" spans="48:51" s="16" customFormat="1" x14ac:dyDescent="0.2">
      <c r="AV1635" s="52"/>
      <c r="AY1635" s="52"/>
    </row>
    <row r="1636" spans="48:51" s="16" customFormat="1" x14ac:dyDescent="0.2">
      <c r="AV1636" s="52"/>
      <c r="AY1636" s="52"/>
    </row>
    <row r="1637" spans="48:51" s="16" customFormat="1" x14ac:dyDescent="0.2">
      <c r="AV1637" s="52"/>
      <c r="AY1637" s="52"/>
    </row>
    <row r="1638" spans="48:51" s="16" customFormat="1" x14ac:dyDescent="0.2">
      <c r="AV1638" s="52"/>
      <c r="AY1638" s="52"/>
    </row>
    <row r="1639" spans="48:51" s="16" customFormat="1" x14ac:dyDescent="0.2">
      <c r="AV1639" s="52"/>
      <c r="AY1639" s="52"/>
    </row>
    <row r="1640" spans="48:51" s="16" customFormat="1" x14ac:dyDescent="0.2">
      <c r="AV1640" s="52"/>
      <c r="AY1640" s="52"/>
    </row>
    <row r="1641" spans="48:51" s="16" customFormat="1" x14ac:dyDescent="0.2">
      <c r="AV1641" s="52"/>
      <c r="AY1641" s="52"/>
    </row>
    <row r="1642" spans="48:51" s="16" customFormat="1" x14ac:dyDescent="0.2">
      <c r="AV1642" s="52"/>
      <c r="AY1642" s="52"/>
    </row>
    <row r="1643" spans="48:51" s="16" customFormat="1" x14ac:dyDescent="0.2">
      <c r="AV1643" s="52"/>
      <c r="AY1643" s="52"/>
    </row>
    <row r="1644" spans="48:51" s="16" customFormat="1" x14ac:dyDescent="0.2">
      <c r="AV1644" s="52"/>
      <c r="AY1644" s="52"/>
    </row>
    <row r="1645" spans="48:51" s="16" customFormat="1" x14ac:dyDescent="0.2">
      <c r="AV1645" s="52"/>
      <c r="AY1645" s="52"/>
    </row>
    <row r="1646" spans="48:51" s="16" customFormat="1" x14ac:dyDescent="0.2">
      <c r="AV1646" s="52"/>
      <c r="AY1646" s="52"/>
    </row>
    <row r="1647" spans="48:51" s="16" customFormat="1" x14ac:dyDescent="0.2">
      <c r="AV1647" s="52"/>
      <c r="AY1647" s="52"/>
    </row>
    <row r="1648" spans="48:51" s="16" customFormat="1" x14ac:dyDescent="0.2">
      <c r="AV1648" s="52"/>
      <c r="AY1648" s="52"/>
    </row>
    <row r="1649" spans="48:51" s="16" customFormat="1" x14ac:dyDescent="0.2">
      <c r="AV1649" s="52"/>
      <c r="AY1649" s="52"/>
    </row>
    <row r="1650" spans="48:51" s="16" customFormat="1" x14ac:dyDescent="0.2">
      <c r="AV1650" s="52"/>
      <c r="AY1650" s="52"/>
    </row>
    <row r="1651" spans="48:51" s="16" customFormat="1" x14ac:dyDescent="0.2">
      <c r="AV1651" s="52"/>
      <c r="AY1651" s="52"/>
    </row>
    <row r="1652" spans="48:51" s="16" customFormat="1" x14ac:dyDescent="0.2">
      <c r="AV1652" s="52"/>
      <c r="AY1652" s="52"/>
    </row>
    <row r="1653" spans="48:51" s="16" customFormat="1" x14ac:dyDescent="0.2">
      <c r="AV1653" s="52"/>
      <c r="AY1653" s="52"/>
    </row>
    <row r="1654" spans="48:51" s="16" customFormat="1" x14ac:dyDescent="0.2">
      <c r="AV1654" s="52"/>
      <c r="AY1654" s="52"/>
    </row>
    <row r="1655" spans="48:51" s="16" customFormat="1" x14ac:dyDescent="0.2">
      <c r="AV1655" s="52"/>
      <c r="AY1655" s="52"/>
    </row>
    <row r="1656" spans="48:51" s="16" customFormat="1" x14ac:dyDescent="0.2">
      <c r="AV1656" s="52"/>
      <c r="AY1656" s="52"/>
    </row>
    <row r="1657" spans="48:51" s="16" customFormat="1" x14ac:dyDescent="0.2">
      <c r="AV1657" s="52"/>
      <c r="AY1657" s="52"/>
    </row>
    <row r="1658" spans="48:51" s="16" customFormat="1" x14ac:dyDescent="0.2">
      <c r="AV1658" s="52"/>
      <c r="AY1658" s="52"/>
    </row>
    <row r="1659" spans="48:51" s="16" customFormat="1" x14ac:dyDescent="0.2">
      <c r="AV1659" s="52"/>
      <c r="AY1659" s="52"/>
    </row>
    <row r="1660" spans="48:51" s="16" customFormat="1" x14ac:dyDescent="0.2">
      <c r="AV1660" s="52"/>
      <c r="AY1660" s="52"/>
    </row>
    <row r="1661" spans="48:51" s="16" customFormat="1" x14ac:dyDescent="0.2">
      <c r="AV1661" s="52"/>
      <c r="AY1661" s="52"/>
    </row>
    <row r="1662" spans="48:51" s="16" customFormat="1" x14ac:dyDescent="0.2">
      <c r="AV1662" s="52"/>
      <c r="AY1662" s="52"/>
    </row>
    <row r="1663" spans="48:51" s="16" customFormat="1" x14ac:dyDescent="0.2">
      <c r="AV1663" s="52"/>
      <c r="AY1663" s="52"/>
    </row>
    <row r="1664" spans="48:51" s="16" customFormat="1" x14ac:dyDescent="0.2">
      <c r="AV1664" s="52"/>
      <c r="AY1664" s="52"/>
    </row>
    <row r="1665" spans="48:51" s="16" customFormat="1" x14ac:dyDescent="0.2">
      <c r="AV1665" s="52"/>
      <c r="AY1665" s="52"/>
    </row>
    <row r="1666" spans="48:51" s="16" customFormat="1" x14ac:dyDescent="0.2">
      <c r="AV1666" s="52"/>
      <c r="AY1666" s="52"/>
    </row>
    <row r="1667" spans="48:51" s="16" customFormat="1" x14ac:dyDescent="0.2">
      <c r="AV1667" s="52"/>
      <c r="AY1667" s="52"/>
    </row>
    <row r="1668" spans="48:51" s="16" customFormat="1" x14ac:dyDescent="0.2">
      <c r="AV1668" s="52"/>
      <c r="AY1668" s="52"/>
    </row>
    <row r="1669" spans="48:51" s="16" customFormat="1" x14ac:dyDescent="0.2">
      <c r="AV1669" s="52"/>
      <c r="AY1669" s="52"/>
    </row>
    <row r="1670" spans="48:51" s="16" customFormat="1" x14ac:dyDescent="0.2">
      <c r="AV1670" s="52"/>
      <c r="AY1670" s="52"/>
    </row>
    <row r="1671" spans="48:51" s="16" customFormat="1" x14ac:dyDescent="0.2">
      <c r="AV1671" s="52"/>
      <c r="AY1671" s="52"/>
    </row>
    <row r="1672" spans="48:51" s="16" customFormat="1" x14ac:dyDescent="0.2">
      <c r="AV1672" s="52"/>
      <c r="AY1672" s="52"/>
    </row>
    <row r="1673" spans="48:51" s="16" customFormat="1" x14ac:dyDescent="0.2">
      <c r="AV1673" s="52"/>
      <c r="AY1673" s="52"/>
    </row>
    <row r="1674" spans="48:51" s="16" customFormat="1" x14ac:dyDescent="0.2">
      <c r="AV1674" s="52"/>
      <c r="AY1674" s="52"/>
    </row>
    <row r="1675" spans="48:51" s="16" customFormat="1" x14ac:dyDescent="0.2">
      <c r="AV1675" s="52"/>
      <c r="AY1675" s="52"/>
    </row>
    <row r="1676" spans="48:51" s="16" customFormat="1" x14ac:dyDescent="0.2">
      <c r="AV1676" s="52"/>
      <c r="AY1676" s="52"/>
    </row>
    <row r="1677" spans="48:51" s="16" customFormat="1" x14ac:dyDescent="0.2">
      <c r="AV1677" s="52"/>
      <c r="AY1677" s="52"/>
    </row>
    <row r="1678" spans="48:51" s="16" customFormat="1" x14ac:dyDescent="0.2">
      <c r="AV1678" s="52"/>
      <c r="AY1678" s="52"/>
    </row>
    <row r="1679" spans="48:51" s="16" customFormat="1" x14ac:dyDescent="0.2">
      <c r="AV1679" s="52"/>
      <c r="AY1679" s="52"/>
    </row>
    <row r="1680" spans="48:51" s="16" customFormat="1" x14ac:dyDescent="0.2">
      <c r="AV1680" s="52"/>
      <c r="AY1680" s="52"/>
    </row>
    <row r="1681" spans="48:51" s="16" customFormat="1" x14ac:dyDescent="0.2">
      <c r="AV1681" s="52"/>
      <c r="AY1681" s="52"/>
    </row>
    <row r="1682" spans="48:51" s="16" customFormat="1" x14ac:dyDescent="0.2">
      <c r="AV1682" s="52"/>
      <c r="AY1682" s="52"/>
    </row>
    <row r="1683" spans="48:51" s="16" customFormat="1" x14ac:dyDescent="0.2">
      <c r="AV1683" s="52"/>
      <c r="AY1683" s="52"/>
    </row>
    <row r="1684" spans="48:51" s="16" customFormat="1" x14ac:dyDescent="0.2">
      <c r="AV1684" s="52"/>
      <c r="AY1684" s="52"/>
    </row>
    <row r="1685" spans="48:51" s="16" customFormat="1" x14ac:dyDescent="0.2">
      <c r="AV1685" s="52"/>
      <c r="AY1685" s="52"/>
    </row>
    <row r="1686" spans="48:51" s="16" customFormat="1" x14ac:dyDescent="0.2">
      <c r="AV1686" s="52"/>
      <c r="AY1686" s="52"/>
    </row>
    <row r="1687" spans="48:51" s="16" customFormat="1" x14ac:dyDescent="0.2">
      <c r="AV1687" s="52"/>
      <c r="AY1687" s="52"/>
    </row>
    <row r="1688" spans="48:51" s="16" customFormat="1" x14ac:dyDescent="0.2">
      <c r="AV1688" s="52"/>
      <c r="AY1688" s="52"/>
    </row>
    <row r="1689" spans="48:51" s="16" customFormat="1" x14ac:dyDescent="0.2">
      <c r="AV1689" s="52"/>
      <c r="AY1689" s="52"/>
    </row>
    <row r="1690" spans="48:51" s="16" customFormat="1" x14ac:dyDescent="0.2">
      <c r="AV1690" s="52"/>
      <c r="AY1690" s="52"/>
    </row>
    <row r="1691" spans="48:51" s="16" customFormat="1" x14ac:dyDescent="0.2">
      <c r="AV1691" s="52"/>
      <c r="AY1691" s="52"/>
    </row>
    <row r="1692" spans="48:51" s="16" customFormat="1" x14ac:dyDescent="0.2">
      <c r="AV1692" s="52"/>
      <c r="AY1692" s="52"/>
    </row>
    <row r="1693" spans="48:51" s="16" customFormat="1" x14ac:dyDescent="0.2">
      <c r="AV1693" s="52"/>
      <c r="AY1693" s="52"/>
    </row>
    <row r="1694" spans="48:51" s="16" customFormat="1" x14ac:dyDescent="0.2">
      <c r="AV1694" s="52"/>
      <c r="AY1694" s="52"/>
    </row>
    <row r="1695" spans="48:51" s="16" customFormat="1" x14ac:dyDescent="0.2">
      <c r="AV1695" s="52"/>
      <c r="AY1695" s="52"/>
    </row>
    <row r="1696" spans="48:51" s="16" customFormat="1" x14ac:dyDescent="0.2">
      <c r="AV1696" s="52"/>
      <c r="AY1696" s="52"/>
    </row>
    <row r="1697" spans="48:51" s="16" customFormat="1" x14ac:dyDescent="0.2">
      <c r="AV1697" s="52"/>
      <c r="AY1697" s="52"/>
    </row>
    <row r="1698" spans="48:51" s="16" customFormat="1" x14ac:dyDescent="0.2">
      <c r="AV1698" s="52"/>
      <c r="AY1698" s="52"/>
    </row>
    <row r="1699" spans="48:51" s="16" customFormat="1" x14ac:dyDescent="0.2">
      <c r="AV1699" s="52"/>
      <c r="AY1699" s="52"/>
    </row>
    <row r="1700" spans="48:51" s="16" customFormat="1" x14ac:dyDescent="0.2">
      <c r="AV1700" s="52"/>
      <c r="AY1700" s="52"/>
    </row>
    <row r="1701" spans="48:51" s="16" customFormat="1" x14ac:dyDescent="0.2">
      <c r="AV1701" s="52"/>
      <c r="AY1701" s="52"/>
    </row>
    <row r="1702" spans="48:51" s="16" customFormat="1" x14ac:dyDescent="0.2">
      <c r="AV1702" s="52"/>
      <c r="AY1702" s="52"/>
    </row>
    <row r="1703" spans="48:51" s="16" customFormat="1" x14ac:dyDescent="0.2">
      <c r="AV1703" s="52"/>
      <c r="AY1703" s="52"/>
    </row>
    <row r="1704" spans="48:51" s="16" customFormat="1" x14ac:dyDescent="0.2">
      <c r="AV1704" s="52"/>
      <c r="AY1704" s="52"/>
    </row>
    <row r="1705" spans="48:51" s="16" customFormat="1" x14ac:dyDescent="0.2">
      <c r="AV1705" s="52"/>
      <c r="AY1705" s="52"/>
    </row>
    <row r="1706" spans="48:51" s="16" customFormat="1" x14ac:dyDescent="0.2">
      <c r="AV1706" s="52"/>
      <c r="AY1706" s="52"/>
    </row>
    <row r="1707" spans="48:51" s="16" customFormat="1" x14ac:dyDescent="0.2">
      <c r="AV1707" s="52"/>
      <c r="AY1707" s="52"/>
    </row>
    <row r="1708" spans="48:51" s="16" customFormat="1" x14ac:dyDescent="0.2">
      <c r="AV1708" s="52"/>
      <c r="AY1708" s="52"/>
    </row>
    <row r="1709" spans="48:51" s="16" customFormat="1" x14ac:dyDescent="0.2">
      <c r="AV1709" s="52"/>
      <c r="AY1709" s="52"/>
    </row>
    <row r="1710" spans="48:51" s="16" customFormat="1" x14ac:dyDescent="0.2">
      <c r="AV1710" s="52"/>
      <c r="AY1710" s="52"/>
    </row>
    <row r="1711" spans="48:51" s="16" customFormat="1" x14ac:dyDescent="0.2">
      <c r="AV1711" s="52"/>
      <c r="AY1711" s="52"/>
    </row>
    <row r="1712" spans="48:51" s="16" customFormat="1" x14ac:dyDescent="0.2">
      <c r="AV1712" s="52"/>
      <c r="AY1712" s="52"/>
    </row>
    <row r="1713" spans="48:51" s="16" customFormat="1" x14ac:dyDescent="0.2">
      <c r="AV1713" s="52"/>
      <c r="AY1713" s="52"/>
    </row>
    <row r="1714" spans="48:51" s="16" customFormat="1" x14ac:dyDescent="0.2">
      <c r="AV1714" s="52"/>
      <c r="AY1714" s="52"/>
    </row>
    <row r="1715" spans="48:51" s="16" customFormat="1" x14ac:dyDescent="0.2">
      <c r="AV1715" s="52"/>
      <c r="AY1715" s="52"/>
    </row>
    <row r="1716" spans="48:51" s="16" customFormat="1" x14ac:dyDescent="0.2">
      <c r="AV1716" s="52"/>
      <c r="AY1716" s="52"/>
    </row>
    <row r="1717" spans="48:51" s="16" customFormat="1" x14ac:dyDescent="0.2">
      <c r="AV1717" s="52"/>
      <c r="AY1717" s="52"/>
    </row>
    <row r="1718" spans="48:51" s="16" customFormat="1" x14ac:dyDescent="0.2">
      <c r="AV1718" s="52"/>
      <c r="AY1718" s="52"/>
    </row>
    <row r="1719" spans="48:51" s="16" customFormat="1" x14ac:dyDescent="0.2">
      <c r="AV1719" s="52"/>
      <c r="AY1719" s="52"/>
    </row>
    <row r="1720" spans="48:51" s="16" customFormat="1" x14ac:dyDescent="0.2">
      <c r="AV1720" s="52"/>
      <c r="AY1720" s="52"/>
    </row>
    <row r="1721" spans="48:51" s="16" customFormat="1" x14ac:dyDescent="0.2">
      <c r="AV1721" s="52"/>
      <c r="AY1721" s="52"/>
    </row>
    <row r="1722" spans="48:51" s="16" customFormat="1" x14ac:dyDescent="0.2">
      <c r="AV1722" s="52"/>
      <c r="AY1722" s="52"/>
    </row>
    <row r="1723" spans="48:51" s="16" customFormat="1" x14ac:dyDescent="0.2">
      <c r="AV1723" s="52"/>
      <c r="AY1723" s="52"/>
    </row>
    <row r="1724" spans="48:51" s="16" customFormat="1" x14ac:dyDescent="0.2">
      <c r="AV1724" s="52"/>
      <c r="AY1724" s="52"/>
    </row>
    <row r="1725" spans="48:51" s="16" customFormat="1" x14ac:dyDescent="0.2">
      <c r="AV1725" s="52"/>
      <c r="AY1725" s="52"/>
    </row>
    <row r="1726" spans="48:51" s="16" customFormat="1" x14ac:dyDescent="0.2">
      <c r="AV1726" s="52"/>
      <c r="AY1726" s="52"/>
    </row>
    <row r="1727" spans="48:51" s="16" customFormat="1" x14ac:dyDescent="0.2">
      <c r="AV1727" s="52"/>
      <c r="AY1727" s="52"/>
    </row>
    <row r="1728" spans="48:51" s="16" customFormat="1" x14ac:dyDescent="0.2">
      <c r="AV1728" s="52"/>
      <c r="AY1728" s="52"/>
    </row>
    <row r="1729" spans="48:51" s="16" customFormat="1" x14ac:dyDescent="0.2">
      <c r="AV1729" s="52"/>
      <c r="AY1729" s="52"/>
    </row>
    <row r="1730" spans="48:51" s="16" customFormat="1" x14ac:dyDescent="0.2">
      <c r="AV1730" s="52"/>
      <c r="AY1730" s="52"/>
    </row>
    <row r="1731" spans="48:51" s="16" customFormat="1" x14ac:dyDescent="0.2">
      <c r="AV1731" s="52"/>
      <c r="AY1731" s="52"/>
    </row>
    <row r="1732" spans="48:51" s="16" customFormat="1" x14ac:dyDescent="0.2">
      <c r="AV1732" s="52"/>
      <c r="AY1732" s="52"/>
    </row>
    <row r="1733" spans="48:51" s="16" customFormat="1" x14ac:dyDescent="0.2">
      <c r="AV1733" s="52"/>
      <c r="AY1733" s="52"/>
    </row>
    <row r="1734" spans="48:51" s="16" customFormat="1" x14ac:dyDescent="0.2">
      <c r="AV1734" s="52"/>
      <c r="AY1734" s="52"/>
    </row>
    <row r="1735" spans="48:51" s="16" customFormat="1" x14ac:dyDescent="0.2">
      <c r="AV1735" s="52"/>
      <c r="AY1735" s="52"/>
    </row>
    <row r="1736" spans="48:51" s="16" customFormat="1" x14ac:dyDescent="0.2">
      <c r="AV1736" s="52"/>
      <c r="AY1736" s="52"/>
    </row>
    <row r="1737" spans="48:51" s="16" customFormat="1" x14ac:dyDescent="0.2">
      <c r="AV1737" s="52"/>
      <c r="AY1737" s="52"/>
    </row>
    <row r="1738" spans="48:51" s="16" customFormat="1" x14ac:dyDescent="0.2">
      <c r="AV1738" s="52"/>
      <c r="AY1738" s="52"/>
    </row>
    <row r="1739" spans="48:51" s="16" customFormat="1" x14ac:dyDescent="0.2">
      <c r="AV1739" s="52"/>
      <c r="AY1739" s="52"/>
    </row>
    <row r="1740" spans="48:51" s="16" customFormat="1" x14ac:dyDescent="0.2">
      <c r="AV1740" s="52"/>
      <c r="AY1740" s="52"/>
    </row>
    <row r="1741" spans="48:51" s="16" customFormat="1" x14ac:dyDescent="0.2">
      <c r="AV1741" s="52"/>
      <c r="AY1741" s="52"/>
    </row>
    <row r="1742" spans="48:51" s="16" customFormat="1" x14ac:dyDescent="0.2">
      <c r="AV1742" s="52"/>
      <c r="AY1742" s="52"/>
    </row>
    <row r="1743" spans="48:51" s="16" customFormat="1" x14ac:dyDescent="0.2">
      <c r="AV1743" s="52"/>
      <c r="AY1743" s="52"/>
    </row>
    <row r="1744" spans="48:51" s="16" customFormat="1" x14ac:dyDescent="0.2">
      <c r="AV1744" s="52"/>
      <c r="AY1744" s="52"/>
    </row>
    <row r="1745" spans="48:51" s="16" customFormat="1" x14ac:dyDescent="0.2">
      <c r="AV1745" s="52"/>
      <c r="AY1745" s="52"/>
    </row>
    <row r="1746" spans="48:51" s="16" customFormat="1" x14ac:dyDescent="0.2">
      <c r="AV1746" s="52"/>
      <c r="AY1746" s="52"/>
    </row>
    <row r="1747" spans="48:51" s="16" customFormat="1" x14ac:dyDescent="0.2">
      <c r="AV1747" s="52"/>
      <c r="AY1747" s="52"/>
    </row>
    <row r="1748" spans="48:51" s="16" customFormat="1" x14ac:dyDescent="0.2">
      <c r="AV1748" s="52"/>
      <c r="AY1748" s="52"/>
    </row>
    <row r="1749" spans="48:51" s="16" customFormat="1" x14ac:dyDescent="0.2">
      <c r="AV1749" s="52"/>
      <c r="AY1749" s="52"/>
    </row>
    <row r="1750" spans="48:51" s="16" customFormat="1" x14ac:dyDescent="0.2">
      <c r="AV1750" s="52"/>
      <c r="AY1750" s="52"/>
    </row>
    <row r="1751" spans="48:51" s="16" customFormat="1" x14ac:dyDescent="0.2">
      <c r="AV1751" s="52"/>
      <c r="AY1751" s="52"/>
    </row>
    <row r="1752" spans="48:51" s="16" customFormat="1" x14ac:dyDescent="0.2">
      <c r="AV1752" s="52"/>
      <c r="AY1752" s="52"/>
    </row>
    <row r="1753" spans="48:51" s="16" customFormat="1" x14ac:dyDescent="0.2">
      <c r="AV1753" s="52"/>
      <c r="AY1753" s="52"/>
    </row>
    <row r="1754" spans="48:51" s="16" customFormat="1" x14ac:dyDescent="0.2">
      <c r="AV1754" s="52"/>
      <c r="AY1754" s="52"/>
    </row>
    <row r="1755" spans="48:51" s="16" customFormat="1" x14ac:dyDescent="0.2">
      <c r="AV1755" s="52"/>
      <c r="AY1755" s="52"/>
    </row>
    <row r="1756" spans="48:51" s="16" customFormat="1" x14ac:dyDescent="0.2">
      <c r="AV1756" s="52"/>
      <c r="AY1756" s="52"/>
    </row>
    <row r="1757" spans="48:51" s="16" customFormat="1" x14ac:dyDescent="0.2">
      <c r="AV1757" s="52"/>
      <c r="AY1757" s="52"/>
    </row>
    <row r="1758" spans="48:51" s="16" customFormat="1" x14ac:dyDescent="0.2">
      <c r="AV1758" s="52"/>
      <c r="AY1758" s="52"/>
    </row>
    <row r="1759" spans="48:51" s="16" customFormat="1" x14ac:dyDescent="0.2">
      <c r="AV1759" s="52"/>
      <c r="AY1759" s="52"/>
    </row>
    <row r="1760" spans="48:51" s="16" customFormat="1" x14ac:dyDescent="0.2">
      <c r="AV1760" s="52"/>
      <c r="AY1760" s="52"/>
    </row>
    <row r="1761" spans="48:51" s="16" customFormat="1" x14ac:dyDescent="0.2">
      <c r="AV1761" s="52"/>
      <c r="AY1761" s="52"/>
    </row>
    <row r="1762" spans="48:51" s="16" customFormat="1" x14ac:dyDescent="0.2">
      <c r="AV1762" s="52"/>
      <c r="AY1762" s="52"/>
    </row>
    <row r="1763" spans="48:51" s="16" customFormat="1" x14ac:dyDescent="0.2">
      <c r="AV1763" s="52"/>
      <c r="AY1763" s="52"/>
    </row>
    <row r="1764" spans="48:51" s="16" customFormat="1" x14ac:dyDescent="0.2">
      <c r="AV1764" s="52"/>
      <c r="AY1764" s="52"/>
    </row>
    <row r="1765" spans="48:51" s="16" customFormat="1" x14ac:dyDescent="0.2">
      <c r="AV1765" s="52"/>
      <c r="AY1765" s="52"/>
    </row>
    <row r="1766" spans="48:51" s="16" customFormat="1" x14ac:dyDescent="0.2">
      <c r="AV1766" s="52"/>
      <c r="AY1766" s="52"/>
    </row>
    <row r="1767" spans="48:51" s="16" customFormat="1" x14ac:dyDescent="0.2">
      <c r="AV1767" s="52"/>
      <c r="AY1767" s="52"/>
    </row>
    <row r="1768" spans="48:51" s="16" customFormat="1" x14ac:dyDescent="0.2">
      <c r="AV1768" s="52"/>
      <c r="AY1768" s="52"/>
    </row>
    <row r="1769" spans="48:51" s="16" customFormat="1" x14ac:dyDescent="0.2">
      <c r="AV1769" s="52"/>
      <c r="AY1769" s="52"/>
    </row>
    <row r="1770" spans="48:51" s="16" customFormat="1" x14ac:dyDescent="0.2">
      <c r="AV1770" s="52"/>
      <c r="AY1770" s="52"/>
    </row>
    <row r="1771" spans="48:51" s="16" customFormat="1" x14ac:dyDescent="0.2">
      <c r="AV1771" s="52"/>
      <c r="AY1771" s="52"/>
    </row>
    <row r="1772" spans="48:51" s="16" customFormat="1" x14ac:dyDescent="0.2">
      <c r="AV1772" s="52"/>
      <c r="AY1772" s="52"/>
    </row>
    <row r="1773" spans="48:51" s="16" customFormat="1" x14ac:dyDescent="0.2">
      <c r="AV1773" s="52"/>
      <c r="AY1773" s="52"/>
    </row>
    <row r="1774" spans="48:51" s="16" customFormat="1" x14ac:dyDescent="0.2">
      <c r="AV1774" s="52"/>
      <c r="AY1774" s="52"/>
    </row>
    <row r="1775" spans="48:51" s="16" customFormat="1" x14ac:dyDescent="0.2">
      <c r="AV1775" s="52"/>
      <c r="AY1775" s="52"/>
    </row>
    <row r="1776" spans="48:51" s="16" customFormat="1" x14ac:dyDescent="0.2">
      <c r="AV1776" s="52"/>
      <c r="AY1776" s="52"/>
    </row>
    <row r="1777" spans="48:51" s="16" customFormat="1" x14ac:dyDescent="0.2">
      <c r="AV1777" s="52"/>
      <c r="AY1777" s="52"/>
    </row>
    <row r="1778" spans="48:51" s="16" customFormat="1" x14ac:dyDescent="0.2">
      <c r="AV1778" s="52"/>
      <c r="AY1778" s="52"/>
    </row>
    <row r="1779" spans="48:51" s="16" customFormat="1" x14ac:dyDescent="0.2">
      <c r="AV1779" s="52"/>
      <c r="AY1779" s="52"/>
    </row>
    <row r="1780" spans="48:51" s="16" customFormat="1" x14ac:dyDescent="0.2">
      <c r="AV1780" s="52"/>
      <c r="AY1780" s="52"/>
    </row>
    <row r="1781" spans="48:51" s="16" customFormat="1" x14ac:dyDescent="0.2">
      <c r="AV1781" s="52"/>
      <c r="AY1781" s="52"/>
    </row>
    <row r="1782" spans="48:51" s="16" customFormat="1" x14ac:dyDescent="0.2">
      <c r="AV1782" s="52"/>
      <c r="AY1782" s="52"/>
    </row>
    <row r="1783" spans="48:51" s="16" customFormat="1" x14ac:dyDescent="0.2">
      <c r="AV1783" s="52"/>
      <c r="AY1783" s="52"/>
    </row>
    <row r="1784" spans="48:51" s="16" customFormat="1" x14ac:dyDescent="0.2">
      <c r="AV1784" s="52"/>
      <c r="AY1784" s="52"/>
    </row>
    <row r="1785" spans="48:51" s="16" customFormat="1" x14ac:dyDescent="0.2">
      <c r="AV1785" s="52"/>
      <c r="AY1785" s="52"/>
    </row>
    <row r="1786" spans="48:51" s="16" customFormat="1" x14ac:dyDescent="0.2">
      <c r="AV1786" s="52"/>
      <c r="AY1786" s="52"/>
    </row>
    <row r="1787" spans="48:51" s="16" customFormat="1" x14ac:dyDescent="0.2">
      <c r="AV1787" s="52"/>
      <c r="AY1787" s="52"/>
    </row>
    <row r="1788" spans="48:51" s="16" customFormat="1" x14ac:dyDescent="0.2">
      <c r="AV1788" s="52"/>
      <c r="AY1788" s="52"/>
    </row>
    <row r="1789" spans="48:51" s="16" customFormat="1" x14ac:dyDescent="0.2">
      <c r="AV1789" s="52"/>
      <c r="AY1789" s="52"/>
    </row>
    <row r="1790" spans="48:51" s="16" customFormat="1" x14ac:dyDescent="0.2">
      <c r="AV1790" s="52"/>
      <c r="AY1790" s="52"/>
    </row>
    <row r="1791" spans="48:51" s="16" customFormat="1" x14ac:dyDescent="0.2">
      <c r="AV1791" s="52"/>
      <c r="AY1791" s="52"/>
    </row>
    <row r="1792" spans="48:51" s="16" customFormat="1" x14ac:dyDescent="0.2">
      <c r="AV1792" s="52"/>
      <c r="AY1792" s="52"/>
    </row>
    <row r="1793" spans="48:51" s="16" customFormat="1" x14ac:dyDescent="0.2">
      <c r="AV1793" s="52"/>
      <c r="AY1793" s="52"/>
    </row>
    <row r="1794" spans="48:51" s="16" customFormat="1" x14ac:dyDescent="0.2">
      <c r="AV1794" s="52"/>
      <c r="AY1794" s="52"/>
    </row>
    <row r="1795" spans="48:51" s="16" customFormat="1" x14ac:dyDescent="0.2">
      <c r="AV1795" s="52"/>
      <c r="AY1795" s="52"/>
    </row>
    <row r="1796" spans="48:51" s="16" customFormat="1" x14ac:dyDescent="0.2">
      <c r="AV1796" s="52"/>
      <c r="AY1796" s="52"/>
    </row>
    <row r="1797" spans="48:51" s="16" customFormat="1" x14ac:dyDescent="0.2">
      <c r="AV1797" s="52"/>
      <c r="AY1797" s="52"/>
    </row>
    <row r="1798" spans="48:51" s="16" customFormat="1" x14ac:dyDescent="0.2">
      <c r="AV1798" s="52"/>
      <c r="AY1798" s="52"/>
    </row>
    <row r="1799" spans="48:51" s="16" customFormat="1" x14ac:dyDescent="0.2">
      <c r="AV1799" s="52"/>
      <c r="AY1799" s="52"/>
    </row>
    <row r="1800" spans="48:51" s="16" customFormat="1" x14ac:dyDescent="0.2">
      <c r="AV1800" s="52"/>
      <c r="AY1800" s="52"/>
    </row>
    <row r="1801" spans="48:51" s="16" customFormat="1" x14ac:dyDescent="0.2">
      <c r="AV1801" s="52"/>
      <c r="AY1801" s="52"/>
    </row>
    <row r="1802" spans="48:51" s="16" customFormat="1" x14ac:dyDescent="0.2">
      <c r="AV1802" s="52"/>
      <c r="AY1802" s="52"/>
    </row>
    <row r="1803" spans="48:51" s="16" customFormat="1" x14ac:dyDescent="0.2">
      <c r="AV1803" s="52"/>
      <c r="AY1803" s="52"/>
    </row>
    <row r="1804" spans="48:51" s="16" customFormat="1" x14ac:dyDescent="0.2">
      <c r="AV1804" s="52"/>
      <c r="AY1804" s="52"/>
    </row>
    <row r="1805" spans="48:51" s="16" customFormat="1" x14ac:dyDescent="0.2">
      <c r="AV1805" s="52"/>
      <c r="AY1805" s="52"/>
    </row>
    <row r="1806" spans="48:51" s="16" customFormat="1" x14ac:dyDescent="0.2">
      <c r="AV1806" s="52"/>
      <c r="AY1806" s="52"/>
    </row>
    <row r="1807" spans="48:51" s="16" customFormat="1" x14ac:dyDescent="0.2">
      <c r="AV1807" s="52"/>
      <c r="AY1807" s="52"/>
    </row>
    <row r="1808" spans="48:51" s="16" customFormat="1" x14ac:dyDescent="0.2">
      <c r="AV1808" s="52"/>
      <c r="AY1808" s="52"/>
    </row>
    <row r="1809" spans="48:51" s="16" customFormat="1" x14ac:dyDescent="0.2">
      <c r="AV1809" s="52"/>
      <c r="AY1809" s="52"/>
    </row>
    <row r="1810" spans="48:51" s="16" customFormat="1" x14ac:dyDescent="0.2">
      <c r="AV1810" s="52"/>
      <c r="AY1810" s="52"/>
    </row>
    <row r="1811" spans="48:51" s="16" customFormat="1" x14ac:dyDescent="0.2">
      <c r="AV1811" s="52"/>
      <c r="AY1811" s="52"/>
    </row>
    <row r="1812" spans="48:51" s="16" customFormat="1" x14ac:dyDescent="0.2">
      <c r="AV1812" s="52"/>
      <c r="AY1812" s="52"/>
    </row>
    <row r="1813" spans="48:51" s="16" customFormat="1" x14ac:dyDescent="0.2">
      <c r="AV1813" s="52"/>
      <c r="AY1813" s="52"/>
    </row>
    <row r="1814" spans="48:51" s="16" customFormat="1" x14ac:dyDescent="0.2">
      <c r="AV1814" s="52"/>
      <c r="AY1814" s="52"/>
    </row>
    <row r="1815" spans="48:51" s="16" customFormat="1" x14ac:dyDescent="0.2">
      <c r="AV1815" s="52"/>
      <c r="AY1815" s="52"/>
    </row>
    <row r="1816" spans="48:51" s="16" customFormat="1" x14ac:dyDescent="0.2">
      <c r="AV1816" s="52"/>
      <c r="AY1816" s="52"/>
    </row>
    <row r="1817" spans="48:51" s="16" customFormat="1" x14ac:dyDescent="0.2">
      <c r="AV1817" s="52"/>
      <c r="AY1817" s="52"/>
    </row>
    <row r="1818" spans="48:51" s="16" customFormat="1" x14ac:dyDescent="0.2">
      <c r="AV1818" s="52"/>
      <c r="AY1818" s="52"/>
    </row>
    <row r="1819" spans="48:51" s="16" customFormat="1" x14ac:dyDescent="0.2">
      <c r="AV1819" s="52"/>
      <c r="AY1819" s="52"/>
    </row>
    <row r="1820" spans="48:51" s="16" customFormat="1" x14ac:dyDescent="0.2">
      <c r="AV1820" s="52"/>
      <c r="AY1820" s="52"/>
    </row>
    <row r="1821" spans="48:51" s="16" customFormat="1" x14ac:dyDescent="0.2">
      <c r="AV1821" s="52"/>
      <c r="AY1821" s="52"/>
    </row>
    <row r="1822" spans="48:51" s="16" customFormat="1" x14ac:dyDescent="0.2">
      <c r="AV1822" s="52"/>
      <c r="AY1822" s="52"/>
    </row>
    <row r="1823" spans="48:51" s="16" customFormat="1" x14ac:dyDescent="0.2">
      <c r="AV1823" s="52"/>
      <c r="AY1823" s="52"/>
    </row>
    <row r="1824" spans="48:51" s="16" customFormat="1" x14ac:dyDescent="0.2">
      <c r="AV1824" s="52"/>
      <c r="AY1824" s="52"/>
    </row>
    <row r="1825" spans="48:51" s="16" customFormat="1" x14ac:dyDescent="0.2">
      <c r="AV1825" s="52"/>
      <c r="AY1825" s="52"/>
    </row>
    <row r="1826" spans="48:51" s="16" customFormat="1" x14ac:dyDescent="0.2">
      <c r="AV1826" s="52"/>
      <c r="AY1826" s="52"/>
    </row>
    <row r="1827" spans="48:51" s="16" customFormat="1" x14ac:dyDescent="0.2">
      <c r="AV1827" s="52"/>
      <c r="AY1827" s="52"/>
    </row>
    <row r="1828" spans="48:51" s="16" customFormat="1" x14ac:dyDescent="0.2">
      <c r="AV1828" s="52"/>
      <c r="AY1828" s="52"/>
    </row>
    <row r="1829" spans="48:51" s="16" customFormat="1" x14ac:dyDescent="0.2">
      <c r="AV1829" s="52"/>
      <c r="AY1829" s="52"/>
    </row>
    <row r="1830" spans="48:51" s="16" customFormat="1" x14ac:dyDescent="0.2">
      <c r="AV1830" s="52"/>
      <c r="AY1830" s="52"/>
    </row>
    <row r="1831" spans="48:51" s="16" customFormat="1" x14ac:dyDescent="0.2">
      <c r="AV1831" s="52"/>
      <c r="AY1831" s="52"/>
    </row>
    <row r="1832" spans="48:51" s="16" customFormat="1" x14ac:dyDescent="0.2">
      <c r="AV1832" s="52"/>
      <c r="AY1832" s="52"/>
    </row>
    <row r="1833" spans="48:51" s="16" customFormat="1" x14ac:dyDescent="0.2">
      <c r="AV1833" s="52"/>
      <c r="AY1833" s="52"/>
    </row>
    <row r="1834" spans="48:51" s="16" customFormat="1" x14ac:dyDescent="0.2">
      <c r="AV1834" s="52"/>
      <c r="AY1834" s="52"/>
    </row>
    <row r="1835" spans="48:51" s="16" customFormat="1" x14ac:dyDescent="0.2">
      <c r="AV1835" s="52"/>
      <c r="AY1835" s="52"/>
    </row>
    <row r="1836" spans="48:51" s="16" customFormat="1" x14ac:dyDescent="0.2">
      <c r="AV1836" s="52"/>
      <c r="AY1836" s="52"/>
    </row>
    <row r="1837" spans="48:51" s="16" customFormat="1" x14ac:dyDescent="0.2">
      <c r="AV1837" s="52"/>
      <c r="AY1837" s="52"/>
    </row>
    <row r="1838" spans="48:51" s="16" customFormat="1" x14ac:dyDescent="0.2">
      <c r="AV1838" s="52"/>
      <c r="AY1838" s="52"/>
    </row>
    <row r="1839" spans="48:51" s="16" customFormat="1" x14ac:dyDescent="0.2">
      <c r="AV1839" s="52"/>
      <c r="AY1839" s="52"/>
    </row>
    <row r="1840" spans="48:51" s="16" customFormat="1" x14ac:dyDescent="0.2">
      <c r="AV1840" s="52"/>
      <c r="AY1840" s="52"/>
    </row>
    <row r="1841" spans="48:51" s="16" customFormat="1" x14ac:dyDescent="0.2">
      <c r="AV1841" s="52"/>
      <c r="AY1841" s="52"/>
    </row>
    <row r="1842" spans="48:51" s="16" customFormat="1" x14ac:dyDescent="0.2">
      <c r="AV1842" s="52"/>
      <c r="AY1842" s="52"/>
    </row>
    <row r="1843" spans="48:51" s="16" customFormat="1" x14ac:dyDescent="0.2">
      <c r="AV1843" s="52"/>
      <c r="AY1843" s="52"/>
    </row>
    <row r="1844" spans="48:51" s="16" customFormat="1" x14ac:dyDescent="0.2">
      <c r="AV1844" s="52"/>
      <c r="AY1844" s="52"/>
    </row>
    <row r="1845" spans="48:51" s="16" customFormat="1" x14ac:dyDescent="0.2">
      <c r="AV1845" s="52"/>
      <c r="AY1845" s="52"/>
    </row>
    <row r="1846" spans="48:51" s="16" customFormat="1" x14ac:dyDescent="0.2">
      <c r="AV1846" s="52"/>
      <c r="AY1846" s="52"/>
    </row>
    <row r="1847" spans="48:51" s="16" customFormat="1" x14ac:dyDescent="0.2">
      <c r="AV1847" s="52"/>
      <c r="AY1847" s="52"/>
    </row>
    <row r="1848" spans="48:51" s="16" customFormat="1" x14ac:dyDescent="0.2">
      <c r="AV1848" s="52"/>
      <c r="AY1848" s="52"/>
    </row>
    <row r="1849" spans="48:51" s="16" customFormat="1" x14ac:dyDescent="0.2">
      <c r="AV1849" s="52"/>
      <c r="AY1849" s="52"/>
    </row>
    <row r="1850" spans="48:51" s="16" customFormat="1" x14ac:dyDescent="0.2">
      <c r="AV1850" s="52"/>
      <c r="AY1850" s="52"/>
    </row>
    <row r="1851" spans="48:51" s="16" customFormat="1" x14ac:dyDescent="0.2">
      <c r="AV1851" s="52"/>
      <c r="AY1851" s="52"/>
    </row>
    <row r="1852" spans="48:51" s="16" customFormat="1" x14ac:dyDescent="0.2">
      <c r="AV1852" s="52"/>
      <c r="AY1852" s="52"/>
    </row>
    <row r="1853" spans="48:51" s="16" customFormat="1" x14ac:dyDescent="0.2">
      <c r="AV1853" s="52"/>
      <c r="AY1853" s="52"/>
    </row>
    <row r="1854" spans="48:51" s="16" customFormat="1" x14ac:dyDescent="0.2">
      <c r="AV1854" s="52"/>
      <c r="AY1854" s="52"/>
    </row>
    <row r="1855" spans="48:51" s="16" customFormat="1" x14ac:dyDescent="0.2">
      <c r="AV1855" s="52"/>
      <c r="AY1855" s="52"/>
    </row>
    <row r="1856" spans="48:51" s="16" customFormat="1" x14ac:dyDescent="0.2">
      <c r="AV1856" s="52"/>
      <c r="AY1856" s="52"/>
    </row>
    <row r="1857" spans="48:51" s="16" customFormat="1" x14ac:dyDescent="0.2">
      <c r="AV1857" s="52"/>
      <c r="AY1857" s="52"/>
    </row>
    <row r="1858" spans="48:51" s="16" customFormat="1" x14ac:dyDescent="0.2">
      <c r="AV1858" s="52"/>
      <c r="AY1858" s="52"/>
    </row>
    <row r="1859" spans="48:51" s="16" customFormat="1" x14ac:dyDescent="0.2">
      <c r="AV1859" s="52"/>
      <c r="AY1859" s="52"/>
    </row>
    <row r="1860" spans="48:51" s="16" customFormat="1" x14ac:dyDescent="0.2">
      <c r="AV1860" s="52"/>
      <c r="AY1860" s="52"/>
    </row>
    <row r="1861" spans="48:51" s="16" customFormat="1" x14ac:dyDescent="0.2">
      <c r="AV1861" s="52"/>
      <c r="AY1861" s="52"/>
    </row>
    <row r="1862" spans="48:51" s="16" customFormat="1" x14ac:dyDescent="0.2">
      <c r="AV1862" s="52"/>
      <c r="AY1862" s="52"/>
    </row>
    <row r="1863" spans="48:51" s="16" customFormat="1" x14ac:dyDescent="0.2">
      <c r="AV1863" s="52"/>
      <c r="AY1863" s="52"/>
    </row>
    <row r="1864" spans="48:51" s="16" customFormat="1" x14ac:dyDescent="0.2">
      <c r="AV1864" s="52"/>
      <c r="AY1864" s="52"/>
    </row>
    <row r="1865" spans="48:51" s="16" customFormat="1" x14ac:dyDescent="0.2">
      <c r="AV1865" s="52"/>
      <c r="AY1865" s="52"/>
    </row>
    <row r="1866" spans="48:51" s="16" customFormat="1" x14ac:dyDescent="0.2">
      <c r="AV1866" s="52"/>
      <c r="AY1866" s="52"/>
    </row>
    <row r="1867" spans="48:51" s="16" customFormat="1" x14ac:dyDescent="0.2">
      <c r="AV1867" s="52"/>
      <c r="AY1867" s="52"/>
    </row>
    <row r="1868" spans="48:51" s="16" customFormat="1" x14ac:dyDescent="0.2">
      <c r="AV1868" s="52"/>
      <c r="AY1868" s="52"/>
    </row>
    <row r="1869" spans="48:51" s="16" customFormat="1" x14ac:dyDescent="0.2">
      <c r="AV1869" s="52"/>
      <c r="AY1869" s="52"/>
    </row>
    <row r="1870" spans="48:51" s="16" customFormat="1" x14ac:dyDescent="0.2">
      <c r="AV1870" s="52"/>
      <c r="AY1870" s="52"/>
    </row>
    <row r="1871" spans="48:51" s="16" customFormat="1" x14ac:dyDescent="0.2">
      <c r="AV1871" s="52"/>
      <c r="AY1871" s="52"/>
    </row>
    <row r="1872" spans="48:51" s="16" customFormat="1" x14ac:dyDescent="0.2">
      <c r="AV1872" s="52"/>
      <c r="AY1872" s="52"/>
    </row>
    <row r="1873" spans="48:51" s="16" customFormat="1" x14ac:dyDescent="0.2">
      <c r="AV1873" s="52"/>
      <c r="AY1873" s="52"/>
    </row>
    <row r="1874" spans="48:51" s="16" customFormat="1" x14ac:dyDescent="0.2">
      <c r="AV1874" s="52"/>
      <c r="AY1874" s="52"/>
    </row>
    <row r="1875" spans="48:51" s="16" customFormat="1" x14ac:dyDescent="0.2">
      <c r="AV1875" s="52"/>
      <c r="AY1875" s="52"/>
    </row>
    <row r="1876" spans="48:51" s="16" customFormat="1" x14ac:dyDescent="0.2">
      <c r="AV1876" s="52"/>
      <c r="AY1876" s="52"/>
    </row>
    <row r="1877" spans="48:51" s="16" customFormat="1" x14ac:dyDescent="0.2">
      <c r="AV1877" s="52"/>
      <c r="AY1877" s="52"/>
    </row>
    <row r="1878" spans="48:51" s="16" customFormat="1" x14ac:dyDescent="0.2">
      <c r="AV1878" s="52"/>
      <c r="AY1878" s="52"/>
    </row>
    <row r="1879" spans="48:51" s="16" customFormat="1" x14ac:dyDescent="0.2">
      <c r="AV1879" s="52"/>
      <c r="AY1879" s="52"/>
    </row>
    <row r="1880" spans="48:51" s="16" customFormat="1" x14ac:dyDescent="0.2">
      <c r="AV1880" s="52"/>
      <c r="AY1880" s="52"/>
    </row>
    <row r="1881" spans="48:51" s="16" customFormat="1" x14ac:dyDescent="0.2">
      <c r="AV1881" s="52"/>
      <c r="AY1881" s="52"/>
    </row>
    <row r="1882" spans="48:51" s="16" customFormat="1" x14ac:dyDescent="0.2">
      <c r="AV1882" s="52"/>
      <c r="AY1882" s="52"/>
    </row>
    <row r="1883" spans="48:51" s="16" customFormat="1" x14ac:dyDescent="0.2">
      <c r="AV1883" s="52"/>
      <c r="AY1883" s="52"/>
    </row>
    <row r="1884" spans="48:51" s="16" customFormat="1" x14ac:dyDescent="0.2">
      <c r="AV1884" s="52"/>
      <c r="AY1884" s="52"/>
    </row>
    <row r="1885" spans="48:51" s="16" customFormat="1" x14ac:dyDescent="0.2">
      <c r="AV1885" s="52"/>
      <c r="AY1885" s="52"/>
    </row>
    <row r="1886" spans="48:51" s="16" customFormat="1" x14ac:dyDescent="0.2">
      <c r="AV1886" s="52"/>
      <c r="AY1886" s="52"/>
    </row>
    <row r="1887" spans="48:51" s="16" customFormat="1" x14ac:dyDescent="0.2">
      <c r="AV1887" s="52"/>
      <c r="AY1887" s="52"/>
    </row>
    <row r="1888" spans="48:51" s="16" customFormat="1" x14ac:dyDescent="0.2">
      <c r="AV1888" s="52"/>
      <c r="AY1888" s="52"/>
    </row>
    <row r="1889" spans="48:51" s="16" customFormat="1" x14ac:dyDescent="0.2">
      <c r="AV1889" s="52"/>
      <c r="AY1889" s="52"/>
    </row>
    <row r="1890" spans="48:51" s="16" customFormat="1" x14ac:dyDescent="0.2">
      <c r="AV1890" s="52"/>
      <c r="AY1890" s="52"/>
    </row>
    <row r="1891" spans="48:51" s="16" customFormat="1" x14ac:dyDescent="0.2">
      <c r="AV1891" s="52"/>
      <c r="AY1891" s="52"/>
    </row>
    <row r="1892" spans="48:51" s="16" customFormat="1" x14ac:dyDescent="0.2">
      <c r="AV1892" s="52"/>
      <c r="AY1892" s="52"/>
    </row>
    <row r="1893" spans="48:51" s="16" customFormat="1" x14ac:dyDescent="0.2">
      <c r="AV1893" s="52"/>
      <c r="AY1893" s="52"/>
    </row>
    <row r="1894" spans="48:51" s="16" customFormat="1" x14ac:dyDescent="0.2">
      <c r="AV1894" s="52"/>
      <c r="AY1894" s="52"/>
    </row>
    <row r="1895" spans="48:51" s="16" customFormat="1" x14ac:dyDescent="0.2">
      <c r="AV1895" s="52"/>
      <c r="AY1895" s="52"/>
    </row>
    <row r="1896" spans="48:51" s="16" customFormat="1" x14ac:dyDescent="0.2">
      <c r="AV1896" s="52"/>
      <c r="AY1896" s="52"/>
    </row>
    <row r="1897" spans="48:51" s="16" customFormat="1" x14ac:dyDescent="0.2">
      <c r="AV1897" s="52"/>
      <c r="AY1897" s="52"/>
    </row>
    <row r="1898" spans="48:51" s="16" customFormat="1" x14ac:dyDescent="0.2">
      <c r="AV1898" s="52"/>
      <c r="AY1898" s="52"/>
    </row>
    <row r="1899" spans="48:51" s="16" customFormat="1" x14ac:dyDescent="0.2">
      <c r="AV1899" s="52"/>
      <c r="AY1899" s="52"/>
    </row>
    <row r="1900" spans="48:51" s="16" customFormat="1" x14ac:dyDescent="0.2">
      <c r="AV1900" s="52"/>
      <c r="AY1900" s="52"/>
    </row>
    <row r="1901" spans="48:51" s="16" customFormat="1" x14ac:dyDescent="0.2">
      <c r="AV1901" s="52"/>
      <c r="AY1901" s="52"/>
    </row>
    <row r="1902" spans="48:51" s="16" customFormat="1" x14ac:dyDescent="0.2">
      <c r="AV1902" s="52"/>
      <c r="AY1902" s="52"/>
    </row>
    <row r="1903" spans="48:51" s="16" customFormat="1" x14ac:dyDescent="0.2">
      <c r="AV1903" s="52"/>
      <c r="AY1903" s="52"/>
    </row>
    <row r="1904" spans="48:51" s="16" customFormat="1" x14ac:dyDescent="0.2">
      <c r="AV1904" s="52"/>
      <c r="AY1904" s="52"/>
    </row>
    <row r="1905" spans="48:51" s="16" customFormat="1" x14ac:dyDescent="0.2">
      <c r="AV1905" s="52"/>
      <c r="AY1905" s="52"/>
    </row>
    <row r="1906" spans="48:51" s="16" customFormat="1" x14ac:dyDescent="0.2">
      <c r="AV1906" s="52"/>
      <c r="AY1906" s="52"/>
    </row>
    <row r="1907" spans="48:51" s="16" customFormat="1" x14ac:dyDescent="0.2">
      <c r="AV1907" s="52"/>
      <c r="AY1907" s="52"/>
    </row>
    <row r="1908" spans="48:51" s="16" customFormat="1" x14ac:dyDescent="0.2">
      <c r="AV1908" s="52"/>
      <c r="AY1908" s="52"/>
    </row>
    <row r="1909" spans="48:51" s="16" customFormat="1" x14ac:dyDescent="0.2">
      <c r="AV1909" s="52"/>
      <c r="AY1909" s="52"/>
    </row>
    <row r="1910" spans="48:51" s="16" customFormat="1" x14ac:dyDescent="0.2">
      <c r="AV1910" s="52"/>
      <c r="AY1910" s="52"/>
    </row>
    <row r="1911" spans="48:51" s="16" customFormat="1" x14ac:dyDescent="0.2">
      <c r="AV1911" s="52"/>
      <c r="AY1911" s="52"/>
    </row>
    <row r="1912" spans="48:51" s="16" customFormat="1" x14ac:dyDescent="0.2">
      <c r="AV1912" s="52"/>
      <c r="AY1912" s="52"/>
    </row>
    <row r="1913" spans="48:51" s="16" customFormat="1" x14ac:dyDescent="0.2">
      <c r="AV1913" s="52"/>
      <c r="AY1913" s="52"/>
    </row>
    <row r="1914" spans="48:51" s="16" customFormat="1" x14ac:dyDescent="0.2">
      <c r="AV1914" s="52"/>
      <c r="AY1914" s="52"/>
    </row>
    <row r="1915" spans="48:51" s="16" customFormat="1" x14ac:dyDescent="0.2">
      <c r="AV1915" s="52"/>
      <c r="AY1915" s="52"/>
    </row>
    <row r="1916" spans="48:51" s="16" customFormat="1" x14ac:dyDescent="0.2">
      <c r="AV1916" s="52"/>
      <c r="AY1916" s="52"/>
    </row>
    <row r="1917" spans="48:51" s="16" customFormat="1" x14ac:dyDescent="0.2">
      <c r="AV1917" s="52"/>
      <c r="AY1917" s="52"/>
    </row>
    <row r="1918" spans="48:51" s="16" customFormat="1" x14ac:dyDescent="0.2">
      <c r="AV1918" s="52"/>
      <c r="AY1918" s="52"/>
    </row>
    <row r="1919" spans="48:51" s="16" customFormat="1" x14ac:dyDescent="0.2">
      <c r="AV1919" s="52"/>
      <c r="AY1919" s="52"/>
    </row>
    <row r="1920" spans="48:51" s="16" customFormat="1" x14ac:dyDescent="0.2">
      <c r="AV1920" s="52"/>
      <c r="AY1920" s="52"/>
    </row>
    <row r="1921" spans="48:51" s="16" customFormat="1" x14ac:dyDescent="0.2">
      <c r="AV1921" s="52"/>
      <c r="AY1921" s="52"/>
    </row>
    <row r="1922" spans="48:51" s="16" customFormat="1" x14ac:dyDescent="0.2">
      <c r="AV1922" s="52"/>
      <c r="AY1922" s="52"/>
    </row>
    <row r="1923" spans="48:51" s="16" customFormat="1" x14ac:dyDescent="0.2">
      <c r="AV1923" s="52"/>
      <c r="AY1923" s="52"/>
    </row>
    <row r="1924" spans="48:51" s="16" customFormat="1" x14ac:dyDescent="0.2">
      <c r="AV1924" s="52"/>
      <c r="AY1924" s="52"/>
    </row>
    <row r="1925" spans="48:51" s="16" customFormat="1" x14ac:dyDescent="0.2">
      <c r="AV1925" s="52"/>
      <c r="AY1925" s="52"/>
    </row>
    <row r="1926" spans="48:51" s="16" customFormat="1" x14ac:dyDescent="0.2">
      <c r="AV1926" s="52"/>
      <c r="AY1926" s="52"/>
    </row>
    <row r="1927" spans="48:51" s="16" customFormat="1" x14ac:dyDescent="0.2">
      <c r="AV1927" s="52"/>
      <c r="AY1927" s="52"/>
    </row>
    <row r="1928" spans="48:51" s="16" customFormat="1" x14ac:dyDescent="0.2">
      <c r="AV1928" s="52"/>
      <c r="AY1928" s="52"/>
    </row>
    <row r="1929" spans="48:51" s="16" customFormat="1" x14ac:dyDescent="0.2">
      <c r="AV1929" s="52"/>
      <c r="AY1929" s="52"/>
    </row>
    <row r="1930" spans="48:51" s="16" customFormat="1" x14ac:dyDescent="0.2">
      <c r="AV1930" s="52"/>
      <c r="AY1930" s="52"/>
    </row>
    <row r="1931" spans="48:51" s="16" customFormat="1" x14ac:dyDescent="0.2">
      <c r="AV1931" s="52"/>
      <c r="AY1931" s="52"/>
    </row>
    <row r="1932" spans="48:51" s="16" customFormat="1" x14ac:dyDescent="0.2">
      <c r="AV1932" s="52"/>
      <c r="AY1932" s="52"/>
    </row>
    <row r="1933" spans="48:51" s="16" customFormat="1" x14ac:dyDescent="0.2">
      <c r="AV1933" s="52"/>
      <c r="AY1933" s="52"/>
    </row>
    <row r="1934" spans="48:51" s="16" customFormat="1" x14ac:dyDescent="0.2">
      <c r="AV1934" s="52"/>
      <c r="AY1934" s="52"/>
    </row>
    <row r="1935" spans="48:51" s="16" customFormat="1" x14ac:dyDescent="0.2">
      <c r="AV1935" s="52"/>
      <c r="AY1935" s="52"/>
    </row>
    <row r="1936" spans="48:51" s="16" customFormat="1" x14ac:dyDescent="0.2">
      <c r="AV1936" s="52"/>
      <c r="AY1936" s="52"/>
    </row>
    <row r="1937" spans="48:51" s="16" customFormat="1" x14ac:dyDescent="0.2">
      <c r="AV1937" s="52"/>
      <c r="AY1937" s="52"/>
    </row>
    <row r="1938" spans="48:51" s="16" customFormat="1" x14ac:dyDescent="0.2">
      <c r="AV1938" s="52"/>
      <c r="AY1938" s="52"/>
    </row>
    <row r="1939" spans="48:51" s="16" customFormat="1" x14ac:dyDescent="0.2">
      <c r="AV1939" s="52"/>
      <c r="AY1939" s="52"/>
    </row>
    <row r="1940" spans="48:51" s="16" customFormat="1" x14ac:dyDescent="0.2">
      <c r="AV1940" s="52"/>
      <c r="AY1940" s="52"/>
    </row>
    <row r="1941" spans="48:51" s="16" customFormat="1" x14ac:dyDescent="0.2">
      <c r="AV1941" s="52"/>
      <c r="AY1941" s="52"/>
    </row>
    <row r="1942" spans="48:51" s="16" customFormat="1" x14ac:dyDescent="0.2">
      <c r="AV1942" s="52"/>
      <c r="AY1942" s="52"/>
    </row>
    <row r="1943" spans="48:51" s="16" customFormat="1" x14ac:dyDescent="0.2">
      <c r="AV1943" s="52"/>
      <c r="AY1943" s="52"/>
    </row>
    <row r="1944" spans="48:51" s="16" customFormat="1" x14ac:dyDescent="0.2">
      <c r="AV1944" s="52"/>
      <c r="AY1944" s="52"/>
    </row>
    <row r="1945" spans="48:51" s="16" customFormat="1" x14ac:dyDescent="0.2">
      <c r="AV1945" s="52"/>
      <c r="AY1945" s="52"/>
    </row>
    <row r="1946" spans="48:51" s="16" customFormat="1" x14ac:dyDescent="0.2">
      <c r="AV1946" s="52"/>
      <c r="AY1946" s="52"/>
    </row>
    <row r="1947" spans="48:51" s="16" customFormat="1" x14ac:dyDescent="0.2">
      <c r="AV1947" s="52"/>
      <c r="AY1947" s="52"/>
    </row>
    <row r="1948" spans="48:51" s="16" customFormat="1" x14ac:dyDescent="0.2">
      <c r="AV1948" s="52"/>
      <c r="AY1948" s="52"/>
    </row>
    <row r="1949" spans="48:51" s="16" customFormat="1" x14ac:dyDescent="0.2">
      <c r="AV1949" s="52"/>
      <c r="AY1949" s="52"/>
    </row>
    <row r="1950" spans="48:51" s="16" customFormat="1" x14ac:dyDescent="0.2">
      <c r="AV1950" s="52"/>
      <c r="AY1950" s="52"/>
    </row>
    <row r="1951" spans="48:51" s="16" customFormat="1" x14ac:dyDescent="0.2">
      <c r="AV1951" s="52"/>
      <c r="AY1951" s="52"/>
    </row>
    <row r="1952" spans="48:51" s="16" customFormat="1" x14ac:dyDescent="0.2">
      <c r="AV1952" s="52"/>
      <c r="AY1952" s="52"/>
    </row>
    <row r="1953" spans="48:51" s="16" customFormat="1" x14ac:dyDescent="0.2">
      <c r="AV1953" s="52"/>
      <c r="AY1953" s="52"/>
    </row>
    <row r="1954" spans="48:51" s="16" customFormat="1" x14ac:dyDescent="0.2">
      <c r="AV1954" s="52"/>
      <c r="AY1954" s="52"/>
    </row>
    <row r="1955" spans="48:51" s="16" customFormat="1" x14ac:dyDescent="0.2">
      <c r="AV1955" s="52"/>
      <c r="AY1955" s="52"/>
    </row>
    <row r="1956" spans="48:51" s="16" customFormat="1" x14ac:dyDescent="0.2">
      <c r="AV1956" s="52"/>
      <c r="AY1956" s="52"/>
    </row>
    <row r="1957" spans="48:51" s="16" customFormat="1" x14ac:dyDescent="0.2">
      <c r="AV1957" s="52"/>
      <c r="AY1957" s="52"/>
    </row>
    <row r="1958" spans="48:51" s="16" customFormat="1" x14ac:dyDescent="0.2">
      <c r="AV1958" s="52"/>
      <c r="AY1958" s="52"/>
    </row>
    <row r="1959" spans="48:51" s="16" customFormat="1" x14ac:dyDescent="0.2">
      <c r="AV1959" s="52"/>
      <c r="AY1959" s="52"/>
    </row>
    <row r="1960" spans="48:51" s="16" customFormat="1" x14ac:dyDescent="0.2">
      <c r="AV1960" s="52"/>
      <c r="AY1960" s="52"/>
    </row>
    <row r="1961" spans="48:51" s="16" customFormat="1" x14ac:dyDescent="0.2">
      <c r="AV1961" s="52"/>
      <c r="AY1961" s="52"/>
    </row>
    <row r="1962" spans="48:51" s="16" customFormat="1" x14ac:dyDescent="0.2">
      <c r="AV1962" s="52"/>
      <c r="AY1962" s="52"/>
    </row>
    <row r="1963" spans="48:51" s="16" customFormat="1" x14ac:dyDescent="0.2">
      <c r="AV1963" s="52"/>
      <c r="AY1963" s="52"/>
    </row>
    <row r="1964" spans="48:51" s="16" customFormat="1" x14ac:dyDescent="0.2">
      <c r="AV1964" s="52"/>
      <c r="AY1964" s="52"/>
    </row>
    <row r="1965" spans="48:51" s="16" customFormat="1" x14ac:dyDescent="0.2">
      <c r="AV1965" s="52"/>
      <c r="AY1965" s="52"/>
    </row>
    <row r="1966" spans="48:51" s="16" customFormat="1" x14ac:dyDescent="0.2">
      <c r="AV1966" s="52"/>
      <c r="AY1966" s="52"/>
    </row>
    <row r="1967" spans="48:51" s="16" customFormat="1" x14ac:dyDescent="0.2">
      <c r="AV1967" s="52"/>
      <c r="AY1967" s="52"/>
    </row>
    <row r="1968" spans="48:51" s="16" customFormat="1" x14ac:dyDescent="0.2">
      <c r="AV1968" s="52"/>
      <c r="AY1968" s="52"/>
    </row>
    <row r="1969" spans="48:51" s="16" customFormat="1" x14ac:dyDescent="0.2">
      <c r="AV1969" s="52"/>
      <c r="AY1969" s="52"/>
    </row>
    <row r="1970" spans="48:51" s="16" customFormat="1" x14ac:dyDescent="0.2">
      <c r="AV1970" s="52"/>
      <c r="AY1970" s="52"/>
    </row>
    <row r="1971" spans="48:51" s="16" customFormat="1" x14ac:dyDescent="0.2">
      <c r="AV1971" s="52"/>
      <c r="AY1971" s="52"/>
    </row>
    <row r="1972" spans="48:51" s="16" customFormat="1" x14ac:dyDescent="0.2">
      <c r="AV1972" s="52"/>
      <c r="AY1972" s="52"/>
    </row>
    <row r="1973" spans="48:51" s="16" customFormat="1" x14ac:dyDescent="0.2">
      <c r="AV1973" s="52"/>
      <c r="AY1973" s="52"/>
    </row>
    <row r="1974" spans="48:51" s="16" customFormat="1" x14ac:dyDescent="0.2">
      <c r="AV1974" s="52"/>
      <c r="AY1974" s="52"/>
    </row>
    <row r="1975" spans="48:51" s="16" customFormat="1" x14ac:dyDescent="0.2">
      <c r="AV1975" s="52"/>
      <c r="AY1975" s="52"/>
    </row>
    <row r="1976" spans="48:51" s="16" customFormat="1" x14ac:dyDescent="0.2">
      <c r="AV1976" s="52"/>
      <c r="AY1976" s="52"/>
    </row>
    <row r="1977" spans="48:51" s="16" customFormat="1" x14ac:dyDescent="0.2">
      <c r="AV1977" s="52"/>
      <c r="AY1977" s="52"/>
    </row>
    <row r="1978" spans="48:51" s="16" customFormat="1" x14ac:dyDescent="0.2">
      <c r="AV1978" s="52"/>
      <c r="AY1978" s="52"/>
    </row>
    <row r="1979" spans="48:51" s="16" customFormat="1" x14ac:dyDescent="0.2">
      <c r="AV1979" s="52"/>
      <c r="AY1979" s="52"/>
    </row>
    <row r="1980" spans="48:51" s="16" customFormat="1" x14ac:dyDescent="0.2">
      <c r="AV1980" s="52"/>
      <c r="AY1980" s="52"/>
    </row>
    <row r="1981" spans="48:51" s="16" customFormat="1" x14ac:dyDescent="0.2">
      <c r="AV1981" s="52"/>
      <c r="AY1981" s="52"/>
    </row>
    <row r="1982" spans="48:51" s="16" customFormat="1" x14ac:dyDescent="0.2">
      <c r="AV1982" s="52"/>
      <c r="AY1982" s="52"/>
    </row>
    <row r="1983" spans="48:51" s="16" customFormat="1" x14ac:dyDescent="0.2">
      <c r="AV1983" s="52"/>
      <c r="AY1983" s="52"/>
    </row>
    <row r="1984" spans="48:51" s="16" customFormat="1" x14ac:dyDescent="0.2">
      <c r="AV1984" s="52"/>
      <c r="AY1984" s="52"/>
    </row>
    <row r="1985" spans="1:93" s="16" customFormat="1" x14ac:dyDescent="0.2">
      <c r="AV1985" s="52"/>
      <c r="AY1985" s="52"/>
    </row>
    <row r="1986" spans="1:93" s="16" customFormat="1" x14ac:dyDescent="0.2">
      <c r="AV1986" s="52"/>
      <c r="AY1986" s="52"/>
    </row>
    <row r="1987" spans="1:93" s="16" customFormat="1" x14ac:dyDescent="0.2">
      <c r="AV1987" s="52"/>
      <c r="AY1987" s="52"/>
    </row>
    <row r="1988" spans="1:93" s="16" customFormat="1" x14ac:dyDescent="0.2">
      <c r="AV1988" s="52"/>
      <c r="AY1988" s="52"/>
    </row>
    <row r="1989" spans="1:93" s="16" customFormat="1" x14ac:dyDescent="0.2">
      <c r="AV1989" s="52"/>
      <c r="AY1989" s="52"/>
    </row>
    <row r="1990" spans="1:93" s="16" customFormat="1" x14ac:dyDescent="0.2">
      <c r="AV1990" s="52"/>
      <c r="AY1990" s="52"/>
    </row>
    <row r="1991" spans="1:93" s="16" customFormat="1" x14ac:dyDescent="0.2">
      <c r="AV1991" s="52"/>
      <c r="AY1991" s="52"/>
    </row>
    <row r="1992" spans="1:93" s="16" customFormat="1" x14ac:dyDescent="0.2">
      <c r="AV1992" s="52"/>
      <c r="AY1992" s="52"/>
    </row>
    <row r="1993" spans="1:93" s="16" customFormat="1" x14ac:dyDescent="0.2">
      <c r="AV1993" s="52"/>
      <c r="AY1993" s="52"/>
    </row>
    <row r="1994" spans="1:93" s="16" customFormat="1" x14ac:dyDescent="0.2">
      <c r="AV1994" s="52"/>
      <c r="AY1994" s="52"/>
    </row>
    <row r="1995" spans="1:93" s="16" customFormat="1" x14ac:dyDescent="0.2">
      <c r="AV1995" s="52"/>
      <c r="AY1995" s="52"/>
    </row>
    <row r="1996" spans="1:93" s="16" customFormat="1" x14ac:dyDescent="0.2">
      <c r="AV1996" s="52"/>
      <c r="AY1996" s="52"/>
    </row>
    <row r="1997" spans="1:93" s="16" customFormat="1" x14ac:dyDescent="0.2">
      <c r="A1997" s="2"/>
      <c r="P1997" s="2"/>
      <c r="Q1997" s="2"/>
      <c r="R1997" s="2"/>
      <c r="AV1997" s="52"/>
      <c r="AY1997" s="52"/>
    </row>
    <row r="1998" spans="1:93" x14ac:dyDescent="0.2">
      <c r="AK1998" s="16"/>
      <c r="AL1998" s="16"/>
      <c r="AM1998" s="16"/>
      <c r="AN1998" s="16"/>
      <c r="AO1998" s="16"/>
      <c r="AP1998" s="16"/>
      <c r="AQ1998" s="16"/>
      <c r="AR1998" s="16"/>
      <c r="AS1998" s="16"/>
      <c r="CJ1998" s="16"/>
      <c r="CK1998" s="16"/>
      <c r="CL1998" s="16"/>
      <c r="CM1998" s="16"/>
      <c r="CN1998" s="16"/>
      <c r="CO1998" s="16"/>
    </row>
    <row r="1999" spans="1:93" x14ac:dyDescent="0.2">
      <c r="AK1999" s="16"/>
      <c r="AL1999" s="16"/>
      <c r="AM1999" s="16"/>
      <c r="AN1999" s="16"/>
      <c r="AO1999" s="16"/>
      <c r="AP1999" s="16"/>
      <c r="AQ1999" s="16"/>
      <c r="AR1999" s="16"/>
      <c r="AS1999" s="16"/>
      <c r="CJ1999" s="16"/>
      <c r="CK1999" s="16"/>
      <c r="CL1999" s="16"/>
      <c r="CM1999" s="16"/>
      <c r="CN1999" s="16"/>
      <c r="CO1999" s="16"/>
    </row>
    <row r="2000" spans="1:93" x14ac:dyDescent="0.2">
      <c r="AK2000" s="16"/>
      <c r="AL2000" s="16"/>
      <c r="AM2000" s="16"/>
      <c r="AN2000" s="16"/>
      <c r="AO2000" s="16"/>
      <c r="AP2000" s="16"/>
      <c r="AQ2000" s="16"/>
      <c r="AR2000" s="16"/>
      <c r="AS2000" s="16"/>
      <c r="CJ2000" s="16"/>
      <c r="CK2000" s="16"/>
      <c r="CL2000" s="16"/>
      <c r="CM2000" s="16"/>
      <c r="CN2000" s="16"/>
      <c r="CO2000" s="16"/>
    </row>
    <row r="2001" spans="37:93" x14ac:dyDescent="0.2">
      <c r="AK2001" s="16"/>
      <c r="AL2001" s="16"/>
      <c r="AM2001" s="16"/>
      <c r="AN2001" s="16"/>
      <c r="AO2001" s="16"/>
      <c r="AP2001" s="16"/>
      <c r="AQ2001" s="16"/>
      <c r="AR2001" s="16"/>
      <c r="AS2001" s="16"/>
      <c r="CJ2001" s="16"/>
      <c r="CK2001" s="16"/>
      <c r="CL2001" s="16"/>
      <c r="CM2001" s="16"/>
      <c r="CN2001" s="16"/>
      <c r="CO2001" s="16"/>
    </row>
    <row r="2002" spans="37:93" x14ac:dyDescent="0.2">
      <c r="AK2002" s="16"/>
      <c r="AL2002" s="16"/>
      <c r="AM2002" s="16"/>
      <c r="AN2002" s="16"/>
      <c r="AO2002" s="16"/>
      <c r="AP2002" s="16"/>
      <c r="AQ2002" s="16"/>
      <c r="AR2002" s="16"/>
      <c r="AS2002" s="16"/>
      <c r="CJ2002" s="16"/>
      <c r="CK2002" s="16"/>
      <c r="CL2002" s="16"/>
      <c r="CM2002" s="16"/>
      <c r="CN2002" s="16"/>
      <c r="CO2002" s="16"/>
    </row>
    <row r="2003" spans="37:93" x14ac:dyDescent="0.2">
      <c r="AK2003" s="16"/>
      <c r="AL2003" s="16"/>
      <c r="AM2003" s="16"/>
      <c r="AN2003" s="16"/>
      <c r="AO2003" s="16"/>
      <c r="AP2003" s="16"/>
      <c r="AQ2003" s="16"/>
      <c r="AR2003" s="16"/>
      <c r="AS2003" s="16"/>
      <c r="CJ2003" s="16"/>
      <c r="CK2003" s="16"/>
      <c r="CL2003" s="16"/>
      <c r="CM2003" s="16"/>
      <c r="CN2003" s="16"/>
      <c r="CO2003" s="16"/>
    </row>
    <row r="2004" spans="37:93" x14ac:dyDescent="0.2">
      <c r="AK2004" s="16"/>
      <c r="AL2004" s="16"/>
      <c r="AM2004" s="16"/>
      <c r="AN2004" s="16"/>
      <c r="AO2004" s="16"/>
      <c r="AP2004" s="16"/>
      <c r="AQ2004" s="16"/>
      <c r="AR2004" s="16"/>
      <c r="AS2004" s="16"/>
      <c r="CJ2004" s="16"/>
      <c r="CK2004" s="16"/>
      <c r="CL2004" s="16"/>
      <c r="CM2004" s="16"/>
      <c r="CN2004" s="16"/>
      <c r="CO2004" s="16"/>
    </row>
    <row r="2005" spans="37:93" x14ac:dyDescent="0.2">
      <c r="AK2005" s="16"/>
      <c r="AL2005" s="16"/>
      <c r="AM2005" s="16"/>
      <c r="AN2005" s="16"/>
      <c r="AO2005" s="16"/>
      <c r="AP2005" s="16"/>
      <c r="AQ2005" s="16"/>
      <c r="AR2005" s="16"/>
      <c r="AS2005" s="16"/>
      <c r="CJ2005" s="16"/>
      <c r="CK2005" s="16"/>
      <c r="CL2005" s="16"/>
      <c r="CM2005" s="16"/>
      <c r="CN2005" s="16"/>
      <c r="CO2005" s="16"/>
    </row>
    <row r="2006" spans="37:93" x14ac:dyDescent="0.2">
      <c r="AK2006" s="16"/>
      <c r="AL2006" s="16"/>
      <c r="AM2006" s="16"/>
      <c r="AN2006" s="16"/>
      <c r="AO2006" s="16"/>
      <c r="AP2006" s="16"/>
      <c r="AQ2006" s="16"/>
      <c r="AR2006" s="16"/>
      <c r="AS2006" s="16"/>
    </row>
    <row r="2007" spans="37:93" x14ac:dyDescent="0.2">
      <c r="AK2007" s="16"/>
      <c r="AL2007" s="16"/>
      <c r="AM2007" s="16"/>
      <c r="AN2007" s="16"/>
      <c r="AO2007" s="16"/>
      <c r="AP2007" s="16"/>
      <c r="AQ2007" s="16"/>
      <c r="AR2007" s="16"/>
      <c r="AS2007" s="16"/>
    </row>
    <row r="2008" spans="37:93" x14ac:dyDescent="0.2">
      <c r="AK2008" s="16"/>
      <c r="AL2008" s="16"/>
      <c r="AM2008" s="16"/>
      <c r="AN2008" s="16"/>
      <c r="AO2008" s="16"/>
      <c r="AP2008" s="16"/>
      <c r="AQ2008" s="16"/>
      <c r="AR2008" s="16"/>
      <c r="AS2008" s="16"/>
    </row>
    <row r="2009" spans="37:93" x14ac:dyDescent="0.2">
      <c r="AK2009" s="16"/>
      <c r="AL2009" s="16"/>
      <c r="AM2009" s="16"/>
      <c r="AN2009" s="16"/>
      <c r="AO2009" s="16"/>
      <c r="AP2009" s="16"/>
      <c r="AQ2009" s="16"/>
      <c r="AR2009" s="16"/>
      <c r="AS2009" s="16"/>
    </row>
    <row r="2010" spans="37:93" x14ac:dyDescent="0.2">
      <c r="AK2010" s="16"/>
      <c r="AL2010" s="16"/>
      <c r="AM2010" s="16"/>
      <c r="AN2010" s="16"/>
      <c r="AO2010" s="16"/>
      <c r="AP2010" s="16"/>
      <c r="AQ2010" s="16"/>
      <c r="AR2010" s="16"/>
      <c r="AS2010" s="16"/>
    </row>
  </sheetData>
  <mergeCells count="100">
    <mergeCell ref="DL5:DO13"/>
    <mergeCell ref="A32:G34"/>
    <mergeCell ref="I22:U22"/>
    <mergeCell ref="I24:U24"/>
    <mergeCell ref="I26:U26"/>
    <mergeCell ref="I28:U30"/>
    <mergeCell ref="A29:G31"/>
    <mergeCell ref="A26:G28"/>
    <mergeCell ref="W24:AI24"/>
    <mergeCell ref="W26:AI26"/>
    <mergeCell ref="W28:AI30"/>
    <mergeCell ref="I5:U5"/>
    <mergeCell ref="W5:AI5"/>
    <mergeCell ref="I6:U13"/>
    <mergeCell ref="AK24:AS25"/>
    <mergeCell ref="AK27:AS28"/>
    <mergeCell ref="A1:XFD1"/>
    <mergeCell ref="A5:F5"/>
    <mergeCell ref="W6:AI13"/>
    <mergeCell ref="AU5:AZ5"/>
    <mergeCell ref="W22:AI22"/>
    <mergeCell ref="AK5:AS5"/>
    <mergeCell ref="AK10:AS11"/>
    <mergeCell ref="AK12:AS13"/>
    <mergeCell ref="AK14:AS15"/>
    <mergeCell ref="BB18:BJ19"/>
    <mergeCell ref="AU6:AZ10"/>
    <mergeCell ref="B10:D10"/>
    <mergeCell ref="A6:G8"/>
    <mergeCell ref="AK16:AS17"/>
    <mergeCell ref="AK18:AS19"/>
    <mergeCell ref="AK21:AS22"/>
    <mergeCell ref="AK6:AS8"/>
    <mergeCell ref="BB6:BJ10"/>
    <mergeCell ref="BL5:BT5"/>
    <mergeCell ref="BL6:BT11"/>
    <mergeCell ref="BL12:BT12"/>
    <mergeCell ref="BB5:BJ5"/>
    <mergeCell ref="BB12:BJ13"/>
    <mergeCell ref="BL31:BT31"/>
    <mergeCell ref="BL33:BT33"/>
    <mergeCell ref="BL35:BT36"/>
    <mergeCell ref="BL21:BT21"/>
    <mergeCell ref="BL23:BT23"/>
    <mergeCell ref="BL25:BT25"/>
    <mergeCell ref="BL27:BT27"/>
    <mergeCell ref="BL29:BT29"/>
    <mergeCell ref="CC5:CH5"/>
    <mergeCell ref="CC10:CH10"/>
    <mergeCell ref="CC6:CH9"/>
    <mergeCell ref="BV11:CA11"/>
    <mergeCell ref="BV10:CA10"/>
    <mergeCell ref="BV8:BV9"/>
    <mergeCell ref="BW8:BW9"/>
    <mergeCell ref="BX8:BX9"/>
    <mergeCell ref="BV5:CA5"/>
    <mergeCell ref="BV6:CA7"/>
    <mergeCell ref="CC12:CH12"/>
    <mergeCell ref="CC14:CH14"/>
    <mergeCell ref="CC16:CH16"/>
    <mergeCell ref="BV13:CA13"/>
    <mergeCell ref="BV15:BX15"/>
    <mergeCell ref="BZ15:CA15"/>
    <mergeCell ref="CQ5:CV5"/>
    <mergeCell ref="CQ6:CV9"/>
    <mergeCell ref="CJ20:CO20"/>
    <mergeCell ref="CQ14:CV15"/>
    <mergeCell ref="CJ5:CO5"/>
    <mergeCell ref="CJ18:CO18"/>
    <mergeCell ref="CJ6:CO13"/>
    <mergeCell ref="CJ29:CO30"/>
    <mergeCell ref="CJ26:CO26"/>
    <mergeCell ref="CJ22:CO22"/>
    <mergeCell ref="CJ24:CO24"/>
    <mergeCell ref="DE19:DJ19"/>
    <mergeCell ref="CQ27:CV29"/>
    <mergeCell ref="CJ15:CM15"/>
    <mergeCell ref="CJ14:CO14"/>
    <mergeCell ref="CJ16:CM16"/>
    <mergeCell ref="CQ17:CV18"/>
    <mergeCell ref="CQ19:CV20"/>
    <mergeCell ref="CQ21:CV22"/>
    <mergeCell ref="CQ23:CV24"/>
    <mergeCell ref="CQ25:CV26"/>
    <mergeCell ref="DE20:DJ20"/>
    <mergeCell ref="DE5:DJ5"/>
    <mergeCell ref="DE23:DJ24"/>
    <mergeCell ref="CX11:DC11"/>
    <mergeCell ref="CX13:DC13"/>
    <mergeCell ref="CX5:DC5"/>
    <mergeCell ref="CX6:DC9"/>
    <mergeCell ref="DE21:DJ21"/>
    <mergeCell ref="DE12:DJ12"/>
    <mergeCell ref="DE6:DJ10"/>
    <mergeCell ref="CX15:DC15"/>
    <mergeCell ref="CX17:DC18"/>
    <mergeCell ref="CX19:DC21"/>
    <mergeCell ref="DE13:DJ13"/>
    <mergeCell ref="DE14:DJ14"/>
    <mergeCell ref="DE16:DJ18"/>
  </mergeCells>
  <pageMargins left="0.7" right="0.7" top="0.75" bottom="0.75" header="0.3" footer="0.3"/>
  <ignoredErrors>
    <ignoredError sqref="C12 N18" formula="1"/>
    <ignoredError sqref="BF16:BG16"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F4C19-A410-B742-B7C9-9A0BA99FAEAF}">
  <dimension ref="A1:J757"/>
  <sheetViews>
    <sheetView zoomScale="90" workbookViewId="0"/>
  </sheetViews>
  <sheetFormatPr baseColWidth="10" defaultRowHeight="16" x14ac:dyDescent="0.2"/>
  <cols>
    <col min="1" max="1" width="15" style="2" customWidth="1"/>
    <col min="2" max="2" width="11.1640625" style="2" customWidth="1"/>
    <col min="3" max="3" width="12.83203125" style="2" customWidth="1"/>
    <col min="4" max="4" width="16.83203125" style="2" customWidth="1"/>
    <col min="5" max="6" width="10.6640625" style="2" customWidth="1"/>
    <col min="7" max="7" width="14.1640625" style="2" customWidth="1"/>
    <col min="8" max="16384" width="10.83203125" style="2"/>
  </cols>
  <sheetData>
    <row r="1" spans="1:10" s="11" customFormat="1" x14ac:dyDescent="0.2"/>
    <row r="2" spans="1:10" s="8" customFormat="1" ht="20" x14ac:dyDescent="0.2">
      <c r="A2" s="7" t="s">
        <v>93</v>
      </c>
      <c r="B2" s="11"/>
      <c r="C2" s="11"/>
      <c r="D2" s="11"/>
      <c r="E2" s="11"/>
      <c r="F2" s="11"/>
      <c r="G2" s="11"/>
      <c r="H2" s="11"/>
      <c r="J2" s="7"/>
    </row>
    <row r="3" spans="1:10" s="3" customFormat="1" ht="18" customHeight="1" x14ac:dyDescent="0.2">
      <c r="A3" s="7" t="s">
        <v>94</v>
      </c>
      <c r="B3" s="11"/>
      <c r="C3" s="11"/>
      <c r="D3" s="11"/>
      <c r="E3" s="11"/>
      <c r="F3" s="11"/>
      <c r="G3" s="11"/>
      <c r="H3" s="11"/>
    </row>
    <row r="4" spans="1:10" s="3" customFormat="1" ht="18" x14ac:dyDescent="0.2">
      <c r="A4" s="11"/>
      <c r="B4" s="11"/>
      <c r="C4" s="11"/>
      <c r="D4" s="11"/>
      <c r="E4" s="11"/>
      <c r="F4" s="11"/>
      <c r="G4" s="11"/>
      <c r="H4" s="11"/>
    </row>
    <row r="5" spans="1:10" s="3" customFormat="1" ht="18" x14ac:dyDescent="0.2">
      <c r="A5" s="11"/>
      <c r="B5" s="11"/>
      <c r="C5" s="11"/>
      <c r="D5" s="11"/>
      <c r="E5" s="11"/>
      <c r="F5" s="11"/>
      <c r="G5" s="11"/>
      <c r="H5" s="11"/>
    </row>
    <row r="6" spans="1:10" s="3" customFormat="1" ht="18" x14ac:dyDescent="0.2">
      <c r="A6" s="11"/>
      <c r="B6" s="11"/>
      <c r="C6" s="11"/>
      <c r="D6" s="11"/>
      <c r="E6" s="11"/>
      <c r="F6" s="11"/>
      <c r="G6" s="11"/>
      <c r="H6" s="11"/>
    </row>
    <row r="7" spans="1:10" s="3" customFormat="1" ht="18" x14ac:dyDescent="0.2">
      <c r="A7" s="11"/>
      <c r="B7" s="11"/>
      <c r="C7" s="11"/>
      <c r="D7" s="11"/>
      <c r="E7" s="11"/>
      <c r="F7" s="11"/>
      <c r="G7" s="11"/>
      <c r="H7" s="11"/>
    </row>
    <row r="8" spans="1:10" s="3" customFormat="1" ht="18" x14ac:dyDescent="0.2">
      <c r="A8" s="11"/>
      <c r="B8" s="11"/>
      <c r="C8" s="11"/>
      <c r="D8" s="11"/>
      <c r="E8" s="11"/>
      <c r="F8" s="11"/>
      <c r="G8" s="11"/>
      <c r="H8" s="11"/>
    </row>
    <row r="9" spans="1:10" s="3" customFormat="1" ht="18" x14ac:dyDescent="0.2">
      <c r="A9" s="11"/>
      <c r="B9" s="11"/>
      <c r="C9" s="11"/>
      <c r="D9" s="11"/>
      <c r="E9" s="11"/>
      <c r="F9" s="11"/>
      <c r="G9" s="11"/>
      <c r="H9" s="11"/>
    </row>
    <row r="10" spans="1:10" s="3" customFormat="1" ht="18" x14ac:dyDescent="0.2">
      <c r="A10" s="11"/>
      <c r="B10" s="11"/>
      <c r="C10" s="11"/>
      <c r="D10" s="11"/>
      <c r="E10" s="11"/>
      <c r="F10" s="11"/>
      <c r="G10" s="11"/>
      <c r="H10" s="11"/>
    </row>
    <row r="11" spans="1:10" s="3" customFormat="1" ht="18" x14ac:dyDescent="0.2">
      <c r="A11" s="11"/>
      <c r="B11" s="11"/>
      <c r="C11" s="11"/>
      <c r="D11" s="11"/>
      <c r="E11" s="11"/>
      <c r="F11" s="11"/>
      <c r="G11" s="11"/>
      <c r="H11" s="11"/>
    </row>
    <row r="12" spans="1:10" s="3" customFormat="1" ht="18" x14ac:dyDescent="0.2">
      <c r="A12" s="11"/>
      <c r="B12" s="11"/>
      <c r="C12" s="11"/>
      <c r="D12" s="11"/>
      <c r="E12" s="11"/>
      <c r="F12" s="11"/>
      <c r="G12" s="11"/>
      <c r="H12" s="11"/>
    </row>
    <row r="13" spans="1:10" s="3" customFormat="1" ht="18" x14ac:dyDescent="0.2">
      <c r="A13" s="11"/>
      <c r="B13" s="11"/>
      <c r="C13" s="11"/>
      <c r="D13" s="11"/>
      <c r="E13" s="11"/>
      <c r="F13" s="11"/>
      <c r="G13" s="11"/>
      <c r="H13" s="11"/>
    </row>
    <row r="14" spans="1:10" s="3" customFormat="1" ht="18" x14ac:dyDescent="0.2">
      <c r="A14" s="11"/>
      <c r="B14" s="11"/>
      <c r="C14" s="11"/>
      <c r="D14" s="11"/>
      <c r="E14" s="11"/>
      <c r="F14" s="11"/>
      <c r="G14" s="11"/>
      <c r="H14" s="11"/>
    </row>
    <row r="15" spans="1:10" s="3" customFormat="1" ht="18" x14ac:dyDescent="0.2">
      <c r="A15" s="5"/>
      <c r="B15" s="5"/>
      <c r="C15" s="5"/>
      <c r="D15" s="5"/>
      <c r="F15" s="6"/>
    </row>
    <row r="16" spans="1:10" s="3" customFormat="1" ht="18" x14ac:dyDescent="0.2">
      <c r="A16" s="5"/>
      <c r="B16" s="5"/>
      <c r="C16" s="5"/>
      <c r="D16" s="5"/>
      <c r="F16" s="6"/>
    </row>
    <row r="17" spans="2:7" s="16" customFormat="1" ht="18" x14ac:dyDescent="0.2">
      <c r="B17" s="18"/>
      <c r="C17" s="18"/>
      <c r="D17" s="18"/>
      <c r="E17" s="18"/>
      <c r="F17" s="18"/>
      <c r="G17" s="18"/>
    </row>
    <row r="18" spans="2:7" s="16" customFormat="1" x14ac:dyDescent="0.2"/>
    <row r="19" spans="2:7" s="16" customFormat="1" x14ac:dyDescent="0.2"/>
    <row r="20" spans="2:7" s="16" customFormat="1" x14ac:dyDescent="0.2"/>
    <row r="21" spans="2:7" s="16" customFormat="1" x14ac:dyDescent="0.2"/>
    <row r="22" spans="2:7" s="16" customFormat="1" x14ac:dyDescent="0.2"/>
    <row r="23" spans="2:7" s="16" customFormat="1" x14ac:dyDescent="0.2"/>
    <row r="24" spans="2:7" s="16" customFormat="1" x14ac:dyDescent="0.2"/>
    <row r="25" spans="2:7" s="16" customFormat="1" x14ac:dyDescent="0.2"/>
    <row r="26" spans="2:7" s="16" customFormat="1" x14ac:dyDescent="0.2"/>
    <row r="27" spans="2:7" s="16" customFormat="1" x14ac:dyDescent="0.2"/>
    <row r="28" spans="2:7" s="16" customFormat="1" x14ac:dyDescent="0.2"/>
    <row r="29" spans="2:7" s="16" customFormat="1" x14ac:dyDescent="0.2"/>
    <row r="30" spans="2:7" s="16" customFormat="1" x14ac:dyDescent="0.2"/>
    <row r="31" spans="2:7" s="16" customFormat="1" x14ac:dyDescent="0.2"/>
    <row r="32" spans="2:7" s="16" customFormat="1" x14ac:dyDescent="0.2"/>
    <row r="33" s="16" customFormat="1" x14ac:dyDescent="0.2"/>
    <row r="34" s="16" customFormat="1" x14ac:dyDescent="0.2"/>
    <row r="35" s="16" customFormat="1" x14ac:dyDescent="0.2"/>
    <row r="36" s="16" customFormat="1" x14ac:dyDescent="0.2"/>
    <row r="37" s="16" customFormat="1" x14ac:dyDescent="0.2"/>
    <row r="38" s="16" customFormat="1" x14ac:dyDescent="0.2"/>
    <row r="39" s="16" customFormat="1" x14ac:dyDescent="0.2"/>
    <row r="40" s="16" customFormat="1" x14ac:dyDescent="0.2"/>
    <row r="41" s="16" customFormat="1" x14ac:dyDescent="0.2"/>
    <row r="42" s="16" customFormat="1" x14ac:dyDescent="0.2"/>
    <row r="43" s="16" customFormat="1" x14ac:dyDescent="0.2"/>
    <row r="44" s="16" customFormat="1" x14ac:dyDescent="0.2"/>
    <row r="45" s="16" customFormat="1" x14ac:dyDescent="0.2"/>
    <row r="46" s="16" customFormat="1" x14ac:dyDescent="0.2"/>
    <row r="47" s="16" customFormat="1" x14ac:dyDescent="0.2"/>
    <row r="48" s="16" customFormat="1" x14ac:dyDescent="0.2"/>
    <row r="49" s="16" customFormat="1" x14ac:dyDescent="0.2"/>
    <row r="50" s="16" customFormat="1" x14ac:dyDescent="0.2"/>
    <row r="51" s="16" customFormat="1" x14ac:dyDescent="0.2"/>
    <row r="52" s="16" customFormat="1" x14ac:dyDescent="0.2"/>
    <row r="53" s="16" customFormat="1" x14ac:dyDescent="0.2"/>
    <row r="54" s="16" customFormat="1" x14ac:dyDescent="0.2"/>
    <row r="55" s="16" customFormat="1" x14ac:dyDescent="0.2"/>
    <row r="56" s="16" customFormat="1" x14ac:dyDescent="0.2"/>
    <row r="57" s="16" customFormat="1" x14ac:dyDescent="0.2"/>
    <row r="58" s="16" customFormat="1" x14ac:dyDescent="0.2"/>
    <row r="59" s="16" customFormat="1" x14ac:dyDescent="0.2"/>
    <row r="60" s="16" customFormat="1" x14ac:dyDescent="0.2"/>
    <row r="61" s="16" customFormat="1" x14ac:dyDescent="0.2"/>
    <row r="62" s="16" customFormat="1" x14ac:dyDescent="0.2"/>
    <row r="63" s="16" customFormat="1" x14ac:dyDescent="0.2"/>
    <row r="64" s="16" customFormat="1" x14ac:dyDescent="0.2"/>
    <row r="65" s="16" customFormat="1" x14ac:dyDescent="0.2"/>
    <row r="66" s="16" customFormat="1" x14ac:dyDescent="0.2"/>
    <row r="67" s="16" customFormat="1" x14ac:dyDescent="0.2"/>
    <row r="68" s="16" customFormat="1" x14ac:dyDescent="0.2"/>
    <row r="69" s="16" customFormat="1" x14ac:dyDescent="0.2"/>
    <row r="70" s="16" customFormat="1" x14ac:dyDescent="0.2"/>
    <row r="71" s="16" customFormat="1" x14ac:dyDescent="0.2"/>
    <row r="72" s="16" customFormat="1" x14ac:dyDescent="0.2"/>
    <row r="73" s="16" customFormat="1" x14ac:dyDescent="0.2"/>
    <row r="74" s="16" customFormat="1" x14ac:dyDescent="0.2"/>
    <row r="75" s="16" customFormat="1" x14ac:dyDescent="0.2"/>
    <row r="76" s="16" customFormat="1" x14ac:dyDescent="0.2"/>
    <row r="77" s="16" customFormat="1" x14ac:dyDescent="0.2"/>
    <row r="78" s="16" customFormat="1" x14ac:dyDescent="0.2"/>
    <row r="79" s="16" customFormat="1" x14ac:dyDescent="0.2"/>
    <row r="80" s="16" customFormat="1" x14ac:dyDescent="0.2"/>
    <row r="81" s="16" customFormat="1" x14ac:dyDescent="0.2"/>
    <row r="82" s="16" customFormat="1" x14ac:dyDescent="0.2"/>
    <row r="83" s="16" customFormat="1" x14ac:dyDescent="0.2"/>
    <row r="84" s="16" customFormat="1" x14ac:dyDescent="0.2"/>
    <row r="85" s="16" customFormat="1" x14ac:dyDescent="0.2"/>
    <row r="86" s="16" customFormat="1" x14ac:dyDescent="0.2"/>
    <row r="87" s="16" customFormat="1" x14ac:dyDescent="0.2"/>
    <row r="88" s="16" customFormat="1" x14ac:dyDescent="0.2"/>
    <row r="89" s="16" customFormat="1" x14ac:dyDescent="0.2"/>
    <row r="90" s="16" customFormat="1" x14ac:dyDescent="0.2"/>
    <row r="91" s="16" customFormat="1" x14ac:dyDescent="0.2"/>
    <row r="92" s="16" customFormat="1" x14ac:dyDescent="0.2"/>
    <row r="93" s="16" customFormat="1" x14ac:dyDescent="0.2"/>
    <row r="94" s="16" customFormat="1" x14ac:dyDescent="0.2"/>
    <row r="95" s="16" customFormat="1" x14ac:dyDescent="0.2"/>
    <row r="96" s="16" customFormat="1" x14ac:dyDescent="0.2"/>
    <row r="97" s="16" customFormat="1" x14ac:dyDescent="0.2"/>
    <row r="98" s="16" customFormat="1" x14ac:dyDescent="0.2"/>
    <row r="99" s="16" customFormat="1" x14ac:dyDescent="0.2"/>
    <row r="100" s="16" customFormat="1" x14ac:dyDescent="0.2"/>
    <row r="101" s="16" customFormat="1" x14ac:dyDescent="0.2"/>
    <row r="102" s="16" customFormat="1" x14ac:dyDescent="0.2"/>
    <row r="103" s="16" customFormat="1" x14ac:dyDescent="0.2"/>
    <row r="104" s="16" customFormat="1" x14ac:dyDescent="0.2"/>
    <row r="105" s="16" customFormat="1" x14ac:dyDescent="0.2"/>
    <row r="106" s="16" customFormat="1" x14ac:dyDescent="0.2"/>
    <row r="107" s="16" customFormat="1" x14ac:dyDescent="0.2"/>
    <row r="108" s="16" customFormat="1" x14ac:dyDescent="0.2"/>
    <row r="109" s="16" customFormat="1" x14ac:dyDescent="0.2"/>
    <row r="110" s="16" customFormat="1" x14ac:dyDescent="0.2"/>
    <row r="111" s="16" customFormat="1" x14ac:dyDescent="0.2"/>
    <row r="112" s="16" customFormat="1" x14ac:dyDescent="0.2"/>
    <row r="113" s="16" customFormat="1" x14ac:dyDescent="0.2"/>
    <row r="114" s="16" customFormat="1" x14ac:dyDescent="0.2"/>
    <row r="115" s="16" customFormat="1" x14ac:dyDescent="0.2"/>
    <row r="116" s="16" customFormat="1" x14ac:dyDescent="0.2"/>
    <row r="117" s="16" customFormat="1" x14ac:dyDescent="0.2"/>
    <row r="118" s="16" customFormat="1" x14ac:dyDescent="0.2"/>
    <row r="119" s="16" customFormat="1" x14ac:dyDescent="0.2"/>
    <row r="120" s="16" customFormat="1" x14ac:dyDescent="0.2"/>
    <row r="121" s="16" customFormat="1" x14ac:dyDescent="0.2"/>
    <row r="122" s="16" customFormat="1" x14ac:dyDescent="0.2"/>
    <row r="123" s="16" customFormat="1" x14ac:dyDescent="0.2"/>
    <row r="124" s="16" customFormat="1" x14ac:dyDescent="0.2"/>
    <row r="125" s="16" customFormat="1" x14ac:dyDescent="0.2"/>
    <row r="126" s="16" customFormat="1" x14ac:dyDescent="0.2"/>
    <row r="127" s="16" customFormat="1" x14ac:dyDescent="0.2"/>
    <row r="128" s="16" customFormat="1" x14ac:dyDescent="0.2"/>
    <row r="129" s="16" customFormat="1" x14ac:dyDescent="0.2"/>
    <row r="130" s="16" customFormat="1" x14ac:dyDescent="0.2"/>
    <row r="131" s="16" customFormat="1" x14ac:dyDescent="0.2"/>
    <row r="132" s="16" customFormat="1" x14ac:dyDescent="0.2"/>
    <row r="133" s="16" customFormat="1" x14ac:dyDescent="0.2"/>
    <row r="134" s="16" customFormat="1" x14ac:dyDescent="0.2"/>
    <row r="135" s="16" customFormat="1" x14ac:dyDescent="0.2"/>
    <row r="136" s="16" customFormat="1" x14ac:dyDescent="0.2"/>
    <row r="137" s="16" customFormat="1" x14ac:dyDescent="0.2"/>
    <row r="138" s="16" customFormat="1" x14ac:dyDescent="0.2"/>
    <row r="139" s="16" customFormat="1" x14ac:dyDescent="0.2"/>
    <row r="140" s="16" customFormat="1" x14ac:dyDescent="0.2"/>
    <row r="141" s="16" customFormat="1" x14ac:dyDescent="0.2"/>
    <row r="142" s="16" customFormat="1" x14ac:dyDescent="0.2"/>
    <row r="143" s="16" customFormat="1" x14ac:dyDescent="0.2"/>
    <row r="144" s="16" customFormat="1" x14ac:dyDescent="0.2"/>
    <row r="145" s="16" customFormat="1" x14ac:dyDescent="0.2"/>
    <row r="146" s="16" customFormat="1" x14ac:dyDescent="0.2"/>
    <row r="147" s="16" customFormat="1" x14ac:dyDescent="0.2"/>
    <row r="148" s="16" customFormat="1" x14ac:dyDescent="0.2"/>
    <row r="149" s="16" customFormat="1" x14ac:dyDescent="0.2"/>
    <row r="150" s="16" customFormat="1" x14ac:dyDescent="0.2"/>
    <row r="151" s="16" customFormat="1" x14ac:dyDescent="0.2"/>
    <row r="152" s="16" customFormat="1" x14ac:dyDescent="0.2"/>
    <row r="153" s="16" customFormat="1" x14ac:dyDescent="0.2"/>
    <row r="154" s="16" customFormat="1" x14ac:dyDescent="0.2"/>
    <row r="155" s="16" customFormat="1" x14ac:dyDescent="0.2"/>
    <row r="156" s="16" customFormat="1" x14ac:dyDescent="0.2"/>
    <row r="157" s="16" customFormat="1" x14ac:dyDescent="0.2"/>
    <row r="158" s="16" customFormat="1" x14ac:dyDescent="0.2"/>
    <row r="159" s="16" customFormat="1" x14ac:dyDescent="0.2"/>
    <row r="160" s="16" customFormat="1" x14ac:dyDescent="0.2"/>
    <row r="161" s="16" customFormat="1" x14ac:dyDescent="0.2"/>
    <row r="162" s="16" customFormat="1" x14ac:dyDescent="0.2"/>
    <row r="163" s="16" customFormat="1" x14ac:dyDescent="0.2"/>
    <row r="164" s="16" customFormat="1" x14ac:dyDescent="0.2"/>
    <row r="165" s="16" customFormat="1" x14ac:dyDescent="0.2"/>
    <row r="166" s="16" customFormat="1" x14ac:dyDescent="0.2"/>
    <row r="167" s="16" customFormat="1" x14ac:dyDescent="0.2"/>
    <row r="168" s="16" customFormat="1" x14ac:dyDescent="0.2"/>
    <row r="169" s="16" customFormat="1" x14ac:dyDescent="0.2"/>
    <row r="170" s="16" customFormat="1" x14ac:dyDescent="0.2"/>
    <row r="171" s="16" customFormat="1" x14ac:dyDescent="0.2"/>
    <row r="172" s="16" customFormat="1" x14ac:dyDescent="0.2"/>
    <row r="173" s="16" customFormat="1" x14ac:dyDescent="0.2"/>
    <row r="174" s="16" customFormat="1" x14ac:dyDescent="0.2"/>
    <row r="175" s="16" customFormat="1" x14ac:dyDescent="0.2"/>
    <row r="176" s="16" customFormat="1" x14ac:dyDescent="0.2"/>
    <row r="177" s="16" customFormat="1" x14ac:dyDescent="0.2"/>
    <row r="178" s="16" customFormat="1" x14ac:dyDescent="0.2"/>
    <row r="179" s="16" customFormat="1" x14ac:dyDescent="0.2"/>
    <row r="180" s="16" customFormat="1" x14ac:dyDescent="0.2"/>
    <row r="181" s="16" customFormat="1" x14ac:dyDescent="0.2"/>
    <row r="182" s="16" customFormat="1" x14ac:dyDescent="0.2"/>
    <row r="183" s="16" customFormat="1" x14ac:dyDescent="0.2"/>
    <row r="184" s="16" customFormat="1" x14ac:dyDescent="0.2"/>
    <row r="185" s="16" customFormat="1" x14ac:dyDescent="0.2"/>
    <row r="186" s="16" customFormat="1" x14ac:dyDescent="0.2"/>
    <row r="187" s="16" customFormat="1" x14ac:dyDescent="0.2"/>
    <row r="188" s="16" customFormat="1" x14ac:dyDescent="0.2"/>
    <row r="189" s="16" customFormat="1" x14ac:dyDescent="0.2"/>
    <row r="190" s="16" customFormat="1" x14ac:dyDescent="0.2"/>
    <row r="191" s="16" customFormat="1" x14ac:dyDescent="0.2"/>
    <row r="192" s="16" customFormat="1" x14ac:dyDescent="0.2"/>
    <row r="193" s="16" customFormat="1" x14ac:dyDescent="0.2"/>
    <row r="194" s="16" customFormat="1" x14ac:dyDescent="0.2"/>
    <row r="195" s="16" customFormat="1" x14ac:dyDescent="0.2"/>
    <row r="196" s="16" customFormat="1" x14ac:dyDescent="0.2"/>
    <row r="197" s="16" customFormat="1" x14ac:dyDescent="0.2"/>
    <row r="198" s="16" customFormat="1" x14ac:dyDescent="0.2"/>
    <row r="199" s="16" customFormat="1" x14ac:dyDescent="0.2"/>
    <row r="200" s="16" customFormat="1" x14ac:dyDescent="0.2"/>
    <row r="201" s="16" customFormat="1" x14ac:dyDescent="0.2"/>
    <row r="202" s="16" customFormat="1" x14ac:dyDescent="0.2"/>
    <row r="203" s="16" customFormat="1" x14ac:dyDescent="0.2"/>
    <row r="204" s="16" customFormat="1" x14ac:dyDescent="0.2"/>
    <row r="205" s="16" customFormat="1" x14ac:dyDescent="0.2"/>
    <row r="206" s="16" customFormat="1" x14ac:dyDescent="0.2"/>
    <row r="207" s="16" customFormat="1" x14ac:dyDescent="0.2"/>
    <row r="208" s="16" customFormat="1" x14ac:dyDescent="0.2"/>
    <row r="209" s="16" customFormat="1" x14ac:dyDescent="0.2"/>
    <row r="210" s="16" customFormat="1" x14ac:dyDescent="0.2"/>
    <row r="211" s="16" customFormat="1" x14ac:dyDescent="0.2"/>
    <row r="212" s="16" customFormat="1" x14ac:dyDescent="0.2"/>
    <row r="213" s="16" customFormat="1" x14ac:dyDescent="0.2"/>
    <row r="214" s="16" customFormat="1" x14ac:dyDescent="0.2"/>
    <row r="215" s="16" customFormat="1" x14ac:dyDescent="0.2"/>
    <row r="216" s="16" customFormat="1" x14ac:dyDescent="0.2"/>
    <row r="217" s="16" customFormat="1" x14ac:dyDescent="0.2"/>
    <row r="218" s="16" customFormat="1" x14ac:dyDescent="0.2"/>
    <row r="219" s="16" customFormat="1" x14ac:dyDescent="0.2"/>
    <row r="220" s="16" customFormat="1" x14ac:dyDescent="0.2"/>
    <row r="221" s="16" customFormat="1" x14ac:dyDescent="0.2"/>
    <row r="222" s="16" customFormat="1" x14ac:dyDescent="0.2"/>
    <row r="223" s="16" customFormat="1" x14ac:dyDescent="0.2"/>
    <row r="224" s="16" customFormat="1" x14ac:dyDescent="0.2"/>
    <row r="225" s="16" customFormat="1" x14ac:dyDescent="0.2"/>
    <row r="226" s="16" customFormat="1" x14ac:dyDescent="0.2"/>
    <row r="227" s="16" customFormat="1" x14ac:dyDescent="0.2"/>
    <row r="228" s="16" customFormat="1" x14ac:dyDescent="0.2"/>
    <row r="229" s="16" customFormat="1" x14ac:dyDescent="0.2"/>
    <row r="230" s="16" customFormat="1" x14ac:dyDescent="0.2"/>
    <row r="231" s="16" customFormat="1" x14ac:dyDescent="0.2"/>
    <row r="232" s="16" customFormat="1" x14ac:dyDescent="0.2"/>
    <row r="233" s="16" customFormat="1" x14ac:dyDescent="0.2"/>
    <row r="234" s="16" customFormat="1" x14ac:dyDescent="0.2"/>
    <row r="235" s="16" customFormat="1" x14ac:dyDescent="0.2"/>
    <row r="236" s="16" customFormat="1" x14ac:dyDescent="0.2"/>
    <row r="237" s="16" customFormat="1" x14ac:dyDescent="0.2"/>
    <row r="238" s="16" customFormat="1" x14ac:dyDescent="0.2"/>
    <row r="239" s="16" customFormat="1" x14ac:dyDescent="0.2"/>
    <row r="240" s="16" customFormat="1" x14ac:dyDescent="0.2"/>
    <row r="241" s="16" customFormat="1" x14ac:dyDescent="0.2"/>
    <row r="242" s="16" customFormat="1" x14ac:dyDescent="0.2"/>
    <row r="243" s="16" customFormat="1" x14ac:dyDescent="0.2"/>
    <row r="244" s="16" customFormat="1" x14ac:dyDescent="0.2"/>
    <row r="245" s="16" customFormat="1" x14ac:dyDescent="0.2"/>
    <row r="246" s="16" customFormat="1" x14ac:dyDescent="0.2"/>
    <row r="247" s="16" customFormat="1" x14ac:dyDescent="0.2"/>
    <row r="248" s="16" customFormat="1" x14ac:dyDescent="0.2"/>
    <row r="249" s="16" customFormat="1" x14ac:dyDescent="0.2"/>
    <row r="250" s="16" customFormat="1" x14ac:dyDescent="0.2"/>
    <row r="251" s="16" customFormat="1" x14ac:dyDescent="0.2"/>
    <row r="252" s="16" customFormat="1" x14ac:dyDescent="0.2"/>
    <row r="253" s="16" customFormat="1" x14ac:dyDescent="0.2"/>
    <row r="254" s="16" customFormat="1" x14ac:dyDescent="0.2"/>
    <row r="255" s="16" customFormat="1" x14ac:dyDescent="0.2"/>
    <row r="256" s="16" customFormat="1" x14ac:dyDescent="0.2"/>
    <row r="257" s="16" customFormat="1" x14ac:dyDescent="0.2"/>
    <row r="258" s="16" customFormat="1" x14ac:dyDescent="0.2"/>
    <row r="259" s="16" customFormat="1" x14ac:dyDescent="0.2"/>
    <row r="260" s="16" customFormat="1" x14ac:dyDescent="0.2"/>
    <row r="261" s="16" customFormat="1" x14ac:dyDescent="0.2"/>
    <row r="262" s="16" customFormat="1" x14ac:dyDescent="0.2"/>
    <row r="263" s="16" customFormat="1" x14ac:dyDescent="0.2"/>
    <row r="264" s="16" customFormat="1" x14ac:dyDescent="0.2"/>
    <row r="265" s="16" customFormat="1" x14ac:dyDescent="0.2"/>
    <row r="266" s="16" customFormat="1" x14ac:dyDescent="0.2"/>
    <row r="267" s="16" customFormat="1" x14ac:dyDescent="0.2"/>
    <row r="268" s="16" customFormat="1" x14ac:dyDescent="0.2"/>
    <row r="269" s="16" customFormat="1" x14ac:dyDescent="0.2"/>
    <row r="270" s="16" customFormat="1" x14ac:dyDescent="0.2"/>
    <row r="271" s="16" customFormat="1" x14ac:dyDescent="0.2"/>
    <row r="272" s="16" customFormat="1" x14ac:dyDescent="0.2"/>
    <row r="273" s="16" customFormat="1" x14ac:dyDescent="0.2"/>
    <row r="274" s="16" customFormat="1" x14ac:dyDescent="0.2"/>
    <row r="275" s="16" customFormat="1" x14ac:dyDescent="0.2"/>
    <row r="276" s="16" customFormat="1" x14ac:dyDescent="0.2"/>
    <row r="277" s="16" customFormat="1" x14ac:dyDescent="0.2"/>
    <row r="278" s="16" customFormat="1" x14ac:dyDescent="0.2"/>
    <row r="279" s="16" customFormat="1" x14ac:dyDescent="0.2"/>
    <row r="280" s="16" customFormat="1" x14ac:dyDescent="0.2"/>
    <row r="281" s="16" customFormat="1" x14ac:dyDescent="0.2"/>
    <row r="282" s="16" customFormat="1" x14ac:dyDescent="0.2"/>
    <row r="283" s="16" customFormat="1" x14ac:dyDescent="0.2"/>
    <row r="284" s="16" customFormat="1" x14ac:dyDescent="0.2"/>
    <row r="285" s="16" customFormat="1" x14ac:dyDescent="0.2"/>
    <row r="286" s="16" customFormat="1" x14ac:dyDescent="0.2"/>
    <row r="287" s="16" customFormat="1" x14ac:dyDescent="0.2"/>
    <row r="288" s="16" customFormat="1" x14ac:dyDescent="0.2"/>
    <row r="289" s="16" customFormat="1" x14ac:dyDescent="0.2"/>
    <row r="290" s="16" customFormat="1" x14ac:dyDescent="0.2"/>
    <row r="291" s="16" customFormat="1" x14ac:dyDescent="0.2"/>
    <row r="292" s="16" customFormat="1" x14ac:dyDescent="0.2"/>
    <row r="293" s="16" customFormat="1" x14ac:dyDescent="0.2"/>
    <row r="294" s="16" customFormat="1" x14ac:dyDescent="0.2"/>
    <row r="295" s="16" customFormat="1" x14ac:dyDescent="0.2"/>
    <row r="296" s="16" customFormat="1" x14ac:dyDescent="0.2"/>
    <row r="297" s="16" customFormat="1" x14ac:dyDescent="0.2"/>
    <row r="298" s="16" customFormat="1" x14ac:dyDescent="0.2"/>
    <row r="299" s="16" customFormat="1" x14ac:dyDescent="0.2"/>
    <row r="300" s="16" customFormat="1" x14ac:dyDescent="0.2"/>
    <row r="301" s="16" customFormat="1" x14ac:dyDescent="0.2"/>
    <row r="302" s="16" customFormat="1" x14ac:dyDescent="0.2"/>
    <row r="303" s="16" customFormat="1" x14ac:dyDescent="0.2"/>
    <row r="304" s="16" customFormat="1" x14ac:dyDescent="0.2"/>
    <row r="305" s="16" customFormat="1" x14ac:dyDescent="0.2"/>
    <row r="306" s="16" customFormat="1" x14ac:dyDescent="0.2"/>
    <row r="307" s="16" customFormat="1" x14ac:dyDescent="0.2"/>
    <row r="308" s="16" customFormat="1" x14ac:dyDescent="0.2"/>
    <row r="309" s="16" customFormat="1" x14ac:dyDescent="0.2"/>
    <row r="310" s="16" customFormat="1" x14ac:dyDescent="0.2"/>
    <row r="311" s="16" customFormat="1" x14ac:dyDescent="0.2"/>
    <row r="312" s="16" customFormat="1" x14ac:dyDescent="0.2"/>
    <row r="313" s="16" customFormat="1" x14ac:dyDescent="0.2"/>
    <row r="314" s="16" customFormat="1" x14ac:dyDescent="0.2"/>
    <row r="315" s="16" customFormat="1" x14ac:dyDescent="0.2"/>
    <row r="316" s="16" customFormat="1" x14ac:dyDescent="0.2"/>
    <row r="317" s="16" customFormat="1" x14ac:dyDescent="0.2"/>
    <row r="318" s="16" customFormat="1" x14ac:dyDescent="0.2"/>
    <row r="319" s="16" customFormat="1" x14ac:dyDescent="0.2"/>
    <row r="320" s="16" customFormat="1" x14ac:dyDescent="0.2"/>
    <row r="321" s="16" customFormat="1" x14ac:dyDescent="0.2"/>
    <row r="322" s="16" customFormat="1" x14ac:dyDescent="0.2"/>
    <row r="323" s="16" customFormat="1" x14ac:dyDescent="0.2"/>
    <row r="324" s="16" customFormat="1" x14ac:dyDescent="0.2"/>
    <row r="325" s="16" customFormat="1" x14ac:dyDescent="0.2"/>
    <row r="326" s="16" customFormat="1" x14ac:dyDescent="0.2"/>
    <row r="327" s="16" customFormat="1" x14ac:dyDescent="0.2"/>
    <row r="328" s="16" customFormat="1" x14ac:dyDescent="0.2"/>
    <row r="329" s="16" customFormat="1" x14ac:dyDescent="0.2"/>
    <row r="330" s="16" customFormat="1" x14ac:dyDescent="0.2"/>
    <row r="331" s="16" customFormat="1" x14ac:dyDescent="0.2"/>
    <row r="332" s="16" customFormat="1" x14ac:dyDescent="0.2"/>
    <row r="333" s="16" customFormat="1" x14ac:dyDescent="0.2"/>
    <row r="334" s="16" customFormat="1" x14ac:dyDescent="0.2"/>
    <row r="335" s="16" customFormat="1" x14ac:dyDescent="0.2"/>
    <row r="336" s="16" customFormat="1" x14ac:dyDescent="0.2"/>
    <row r="337" s="16" customFormat="1" x14ac:dyDescent="0.2"/>
    <row r="338" s="16" customFormat="1" x14ac:dyDescent="0.2"/>
    <row r="339" s="16" customFormat="1" x14ac:dyDescent="0.2"/>
    <row r="340" s="16" customFormat="1" x14ac:dyDescent="0.2"/>
    <row r="341" s="16" customFormat="1" x14ac:dyDescent="0.2"/>
    <row r="342" s="16" customFormat="1" x14ac:dyDescent="0.2"/>
    <row r="343" s="16" customFormat="1" x14ac:dyDescent="0.2"/>
    <row r="344" s="16" customFormat="1" x14ac:dyDescent="0.2"/>
    <row r="345" s="16" customFormat="1" x14ac:dyDescent="0.2"/>
    <row r="346" s="16" customFormat="1" x14ac:dyDescent="0.2"/>
    <row r="347" s="16" customFormat="1" x14ac:dyDescent="0.2"/>
    <row r="348" s="16" customFormat="1" x14ac:dyDescent="0.2"/>
    <row r="349" s="16" customFormat="1" x14ac:dyDescent="0.2"/>
    <row r="350" s="16" customFormat="1" x14ac:dyDescent="0.2"/>
    <row r="351" s="16" customFormat="1" x14ac:dyDescent="0.2"/>
    <row r="352" s="16" customFormat="1" x14ac:dyDescent="0.2"/>
    <row r="353" s="16" customFormat="1" x14ac:dyDescent="0.2"/>
    <row r="354" s="16" customFormat="1" x14ac:dyDescent="0.2"/>
    <row r="355" s="16" customFormat="1" x14ac:dyDescent="0.2"/>
    <row r="356" s="16" customFormat="1" x14ac:dyDescent="0.2"/>
    <row r="357" s="16" customFormat="1" x14ac:dyDescent="0.2"/>
    <row r="358" s="16" customFormat="1" x14ac:dyDescent="0.2"/>
    <row r="359" s="16" customFormat="1" x14ac:dyDescent="0.2"/>
    <row r="360" s="16" customFormat="1" x14ac:dyDescent="0.2"/>
    <row r="361" s="16" customFormat="1" x14ac:dyDescent="0.2"/>
    <row r="362" s="16" customFormat="1" x14ac:dyDescent="0.2"/>
    <row r="363" s="16" customFormat="1" x14ac:dyDescent="0.2"/>
    <row r="364" s="16" customFormat="1" x14ac:dyDescent="0.2"/>
    <row r="365" s="16" customFormat="1" x14ac:dyDescent="0.2"/>
    <row r="366" s="16" customFormat="1" x14ac:dyDescent="0.2"/>
    <row r="367" s="16" customFormat="1" x14ac:dyDescent="0.2"/>
    <row r="368" s="16" customFormat="1" x14ac:dyDescent="0.2"/>
    <row r="369" s="16" customFormat="1" x14ac:dyDescent="0.2"/>
    <row r="370" s="16" customFormat="1" x14ac:dyDescent="0.2"/>
    <row r="371" s="16" customFormat="1" x14ac:dyDescent="0.2"/>
    <row r="372" s="16" customFormat="1" x14ac:dyDescent="0.2"/>
    <row r="373" s="16" customFormat="1" x14ac:dyDescent="0.2"/>
    <row r="374" s="16" customFormat="1" x14ac:dyDescent="0.2"/>
    <row r="375" s="16" customFormat="1" x14ac:dyDescent="0.2"/>
    <row r="376" s="16" customFormat="1" x14ac:dyDescent="0.2"/>
    <row r="377" s="16" customFormat="1" x14ac:dyDescent="0.2"/>
    <row r="378" s="16" customFormat="1" x14ac:dyDescent="0.2"/>
    <row r="379" s="16" customFormat="1" x14ac:dyDescent="0.2"/>
    <row r="380" s="16" customFormat="1" x14ac:dyDescent="0.2"/>
    <row r="381" s="16" customFormat="1" x14ac:dyDescent="0.2"/>
    <row r="382" s="16" customFormat="1" x14ac:dyDescent="0.2"/>
    <row r="383" s="16" customFormat="1" x14ac:dyDescent="0.2"/>
    <row r="384" s="16" customFormat="1" x14ac:dyDescent="0.2"/>
    <row r="385" s="16" customFormat="1" x14ac:dyDescent="0.2"/>
    <row r="386" s="16" customFormat="1" x14ac:dyDescent="0.2"/>
    <row r="387" s="16" customFormat="1" x14ac:dyDescent="0.2"/>
    <row r="388" s="16" customFormat="1" x14ac:dyDescent="0.2"/>
    <row r="389" s="16" customFormat="1" x14ac:dyDescent="0.2"/>
    <row r="390" s="16" customFormat="1" x14ac:dyDescent="0.2"/>
    <row r="391" s="16" customFormat="1" x14ac:dyDescent="0.2"/>
    <row r="392" s="16" customFormat="1" x14ac:dyDescent="0.2"/>
    <row r="393" s="16" customFormat="1" x14ac:dyDescent="0.2"/>
    <row r="394" s="16" customFormat="1" x14ac:dyDescent="0.2"/>
    <row r="395" s="16" customFormat="1" x14ac:dyDescent="0.2"/>
    <row r="396" s="16" customFormat="1" x14ac:dyDescent="0.2"/>
    <row r="397" s="16" customFormat="1" x14ac:dyDescent="0.2"/>
    <row r="398" s="16" customFormat="1" x14ac:dyDescent="0.2"/>
    <row r="399" s="16" customFormat="1" x14ac:dyDescent="0.2"/>
    <row r="400" s="16" customFormat="1" x14ac:dyDescent="0.2"/>
    <row r="401" s="16" customFormat="1" x14ac:dyDescent="0.2"/>
    <row r="402" s="16" customFormat="1" x14ac:dyDescent="0.2"/>
    <row r="403" s="16" customFormat="1" x14ac:dyDescent="0.2"/>
    <row r="404" s="16" customFormat="1" x14ac:dyDescent="0.2"/>
    <row r="405" s="16" customFormat="1" x14ac:dyDescent="0.2"/>
    <row r="406" s="16" customFormat="1" x14ac:dyDescent="0.2"/>
    <row r="407" s="16" customFormat="1" x14ac:dyDescent="0.2"/>
    <row r="408" s="16" customFormat="1" x14ac:dyDescent="0.2"/>
    <row r="409" s="16" customFormat="1" x14ac:dyDescent="0.2"/>
    <row r="410" s="16" customFormat="1" x14ac:dyDescent="0.2"/>
    <row r="411" s="16" customFormat="1" x14ac:dyDescent="0.2"/>
    <row r="412" s="16" customFormat="1" x14ac:dyDescent="0.2"/>
    <row r="413" s="16" customFormat="1" x14ac:dyDescent="0.2"/>
    <row r="414" s="16" customFormat="1" x14ac:dyDescent="0.2"/>
    <row r="415" s="16" customFormat="1" x14ac:dyDescent="0.2"/>
    <row r="416" s="16" customFormat="1" x14ac:dyDescent="0.2"/>
    <row r="417" s="16" customFormat="1" x14ac:dyDescent="0.2"/>
    <row r="418" s="16" customFormat="1" x14ac:dyDescent="0.2"/>
    <row r="419" s="16" customFormat="1" x14ac:dyDescent="0.2"/>
    <row r="420" s="16" customFormat="1" x14ac:dyDescent="0.2"/>
    <row r="421" s="16" customFormat="1" x14ac:dyDescent="0.2"/>
    <row r="422" s="16" customFormat="1" x14ac:dyDescent="0.2"/>
    <row r="423" s="16" customFormat="1" x14ac:dyDescent="0.2"/>
    <row r="424" s="16" customFormat="1" x14ac:dyDescent="0.2"/>
    <row r="425" s="16" customFormat="1" x14ac:dyDescent="0.2"/>
    <row r="426" s="16" customFormat="1" x14ac:dyDescent="0.2"/>
    <row r="427" s="16" customFormat="1" x14ac:dyDescent="0.2"/>
    <row r="428" s="16" customFormat="1" x14ac:dyDescent="0.2"/>
    <row r="429" s="16" customFormat="1" x14ac:dyDescent="0.2"/>
    <row r="430" s="16" customFormat="1" x14ac:dyDescent="0.2"/>
    <row r="431" s="16" customFormat="1" x14ac:dyDescent="0.2"/>
    <row r="432" s="16" customFormat="1" x14ac:dyDescent="0.2"/>
    <row r="433" s="16" customFormat="1" x14ac:dyDescent="0.2"/>
    <row r="434" s="16" customFormat="1" x14ac:dyDescent="0.2"/>
    <row r="435" s="16" customFormat="1" x14ac:dyDescent="0.2"/>
    <row r="436" s="16" customFormat="1" x14ac:dyDescent="0.2"/>
    <row r="437" s="16" customFormat="1" x14ac:dyDescent="0.2"/>
    <row r="438" s="16" customFormat="1" x14ac:dyDescent="0.2"/>
    <row r="439" s="16" customFormat="1" x14ac:dyDescent="0.2"/>
    <row r="440" s="16" customFormat="1" x14ac:dyDescent="0.2"/>
    <row r="441" s="16" customFormat="1" x14ac:dyDescent="0.2"/>
    <row r="442" s="16" customFormat="1" x14ac:dyDescent="0.2"/>
    <row r="443" s="16" customFormat="1" x14ac:dyDescent="0.2"/>
    <row r="444" s="16" customFormat="1" x14ac:dyDescent="0.2"/>
    <row r="445" s="16" customFormat="1" x14ac:dyDescent="0.2"/>
    <row r="446" s="16" customFormat="1" x14ac:dyDescent="0.2"/>
    <row r="447" s="16" customFormat="1" x14ac:dyDescent="0.2"/>
    <row r="448" s="16" customFormat="1" x14ac:dyDescent="0.2"/>
    <row r="449" s="16" customFormat="1" x14ac:dyDescent="0.2"/>
    <row r="450" s="16" customFormat="1" x14ac:dyDescent="0.2"/>
    <row r="451" s="16" customFormat="1" x14ac:dyDescent="0.2"/>
    <row r="452" s="16" customFormat="1" x14ac:dyDescent="0.2"/>
    <row r="453" s="16" customFormat="1" x14ac:dyDescent="0.2"/>
    <row r="454" s="16" customFormat="1" x14ac:dyDescent="0.2"/>
    <row r="455" s="16" customFormat="1" x14ac:dyDescent="0.2"/>
    <row r="456" s="16" customFormat="1" x14ac:dyDescent="0.2"/>
    <row r="457" s="16" customFormat="1" x14ac:dyDescent="0.2"/>
    <row r="458" s="16" customFormat="1" x14ac:dyDescent="0.2"/>
    <row r="459" s="16" customFormat="1" x14ac:dyDescent="0.2"/>
    <row r="460" s="16" customFormat="1" x14ac:dyDescent="0.2"/>
    <row r="461" s="16" customFormat="1" x14ac:dyDescent="0.2"/>
    <row r="462" s="16" customFormat="1" x14ac:dyDescent="0.2"/>
    <row r="463" s="16" customFormat="1" x14ac:dyDescent="0.2"/>
    <row r="464" s="16" customFormat="1" x14ac:dyDescent="0.2"/>
    <row r="465" s="16" customFormat="1" x14ac:dyDescent="0.2"/>
    <row r="466" s="16" customFormat="1" x14ac:dyDescent="0.2"/>
    <row r="467" s="16" customFormat="1" x14ac:dyDescent="0.2"/>
    <row r="468" s="16" customFormat="1" x14ac:dyDescent="0.2"/>
    <row r="469" s="16" customFormat="1" x14ac:dyDescent="0.2"/>
    <row r="470" s="16" customFormat="1" x14ac:dyDescent="0.2"/>
    <row r="471" s="16" customFormat="1" x14ac:dyDescent="0.2"/>
    <row r="472" s="16" customFormat="1" x14ac:dyDescent="0.2"/>
    <row r="473" s="16" customFormat="1" x14ac:dyDescent="0.2"/>
    <row r="474" s="16" customFormat="1" x14ac:dyDescent="0.2"/>
    <row r="475" s="16" customFormat="1" x14ac:dyDescent="0.2"/>
    <row r="476" s="16" customFormat="1" x14ac:dyDescent="0.2"/>
    <row r="477" s="16" customFormat="1" x14ac:dyDescent="0.2"/>
    <row r="478" s="16" customFormat="1" x14ac:dyDescent="0.2"/>
    <row r="479" s="16" customFormat="1" x14ac:dyDescent="0.2"/>
    <row r="480" s="16" customFormat="1" x14ac:dyDescent="0.2"/>
    <row r="481" s="16" customFormat="1" x14ac:dyDescent="0.2"/>
    <row r="482" s="16" customFormat="1" x14ac:dyDescent="0.2"/>
    <row r="483" s="16" customFormat="1" x14ac:dyDescent="0.2"/>
    <row r="484" s="16" customFormat="1" x14ac:dyDescent="0.2"/>
    <row r="485" s="16" customFormat="1" x14ac:dyDescent="0.2"/>
    <row r="486" s="16" customFormat="1" x14ac:dyDescent="0.2"/>
    <row r="487" s="16" customFormat="1" x14ac:dyDescent="0.2"/>
    <row r="488" s="16" customFormat="1" x14ac:dyDescent="0.2"/>
    <row r="489" s="16" customFormat="1" x14ac:dyDescent="0.2"/>
    <row r="490" s="16" customFormat="1" x14ac:dyDescent="0.2"/>
    <row r="491" s="16" customFormat="1" x14ac:dyDescent="0.2"/>
    <row r="492" s="16" customFormat="1" x14ac:dyDescent="0.2"/>
    <row r="493" s="16" customFormat="1" x14ac:dyDescent="0.2"/>
    <row r="494" s="16" customFormat="1" x14ac:dyDescent="0.2"/>
    <row r="495" s="16" customFormat="1" x14ac:dyDescent="0.2"/>
    <row r="496" s="16" customFormat="1" x14ac:dyDescent="0.2"/>
    <row r="497" s="16" customFormat="1" x14ac:dyDescent="0.2"/>
    <row r="498" s="16" customFormat="1" x14ac:dyDescent="0.2"/>
    <row r="499" s="16" customFormat="1" x14ac:dyDescent="0.2"/>
    <row r="500" s="16" customFormat="1" x14ac:dyDescent="0.2"/>
    <row r="501" s="16" customFormat="1" x14ac:dyDescent="0.2"/>
    <row r="502" s="16" customFormat="1" x14ac:dyDescent="0.2"/>
    <row r="503" s="16" customFormat="1" x14ac:dyDescent="0.2"/>
    <row r="504" s="16" customFormat="1" x14ac:dyDescent="0.2"/>
    <row r="505" s="16" customFormat="1" x14ac:dyDescent="0.2"/>
    <row r="506" s="16" customFormat="1" x14ac:dyDescent="0.2"/>
    <row r="507" s="16" customFormat="1" x14ac:dyDescent="0.2"/>
    <row r="508" s="16" customFormat="1" x14ac:dyDescent="0.2"/>
    <row r="509" s="16" customFormat="1" x14ac:dyDescent="0.2"/>
    <row r="510" s="16" customFormat="1" x14ac:dyDescent="0.2"/>
    <row r="511" s="16" customFormat="1" x14ac:dyDescent="0.2"/>
    <row r="512" s="16" customFormat="1" x14ac:dyDescent="0.2"/>
    <row r="513" s="16" customFormat="1" x14ac:dyDescent="0.2"/>
    <row r="514" s="16" customFormat="1" x14ac:dyDescent="0.2"/>
    <row r="515" s="16" customFormat="1" x14ac:dyDescent="0.2"/>
    <row r="516" s="16" customFormat="1" x14ac:dyDescent="0.2"/>
    <row r="517" s="16" customFormat="1" x14ac:dyDescent="0.2"/>
    <row r="518" s="16" customFormat="1" x14ac:dyDescent="0.2"/>
    <row r="519" s="16" customFormat="1" x14ac:dyDescent="0.2"/>
    <row r="520" s="16" customFormat="1" x14ac:dyDescent="0.2"/>
    <row r="521" s="16" customFormat="1" x14ac:dyDescent="0.2"/>
    <row r="522" s="16" customFormat="1" x14ac:dyDescent="0.2"/>
    <row r="523" s="16" customFormat="1" x14ac:dyDescent="0.2"/>
    <row r="524" s="16" customFormat="1" x14ac:dyDescent="0.2"/>
    <row r="525" s="16" customFormat="1" x14ac:dyDescent="0.2"/>
    <row r="526" s="16" customFormat="1" x14ac:dyDescent="0.2"/>
    <row r="527" s="16" customFormat="1" x14ac:dyDescent="0.2"/>
    <row r="528" s="16" customFormat="1" x14ac:dyDescent="0.2"/>
    <row r="529" s="16" customFormat="1" x14ac:dyDescent="0.2"/>
    <row r="530" s="16" customFormat="1" x14ac:dyDescent="0.2"/>
    <row r="531" s="16" customFormat="1" x14ac:dyDescent="0.2"/>
    <row r="532" s="16" customFormat="1" x14ac:dyDescent="0.2"/>
    <row r="533" s="16" customFormat="1" x14ac:dyDescent="0.2"/>
    <row r="534" s="16" customFormat="1" x14ac:dyDescent="0.2"/>
    <row r="535" s="16" customFormat="1" x14ac:dyDescent="0.2"/>
    <row r="536" s="16" customFormat="1" x14ac:dyDescent="0.2"/>
    <row r="537" s="16" customFormat="1" x14ac:dyDescent="0.2"/>
    <row r="538" s="16" customFormat="1" x14ac:dyDescent="0.2"/>
    <row r="539" s="16" customFormat="1" x14ac:dyDescent="0.2"/>
    <row r="540" s="16" customFormat="1" x14ac:dyDescent="0.2"/>
    <row r="541" s="16" customFormat="1" x14ac:dyDescent="0.2"/>
    <row r="542" s="16" customFormat="1" x14ac:dyDescent="0.2"/>
    <row r="543" s="16" customFormat="1" x14ac:dyDescent="0.2"/>
    <row r="544" s="16" customFormat="1" x14ac:dyDescent="0.2"/>
    <row r="545" s="16" customFormat="1" x14ac:dyDescent="0.2"/>
    <row r="546" s="16" customFormat="1" x14ac:dyDescent="0.2"/>
    <row r="547" s="16" customFormat="1" x14ac:dyDescent="0.2"/>
    <row r="548" s="16" customFormat="1" x14ac:dyDescent="0.2"/>
    <row r="549" s="16" customFormat="1" x14ac:dyDescent="0.2"/>
    <row r="550" s="16" customFormat="1" x14ac:dyDescent="0.2"/>
    <row r="551" s="16" customFormat="1" x14ac:dyDescent="0.2"/>
    <row r="552" s="16" customFormat="1" x14ac:dyDescent="0.2"/>
    <row r="553" s="16" customFormat="1" x14ac:dyDescent="0.2"/>
    <row r="554" s="16" customFormat="1" x14ac:dyDescent="0.2"/>
    <row r="555" s="16" customFormat="1" x14ac:dyDescent="0.2"/>
    <row r="556" s="16" customFormat="1" x14ac:dyDescent="0.2"/>
    <row r="557" s="16" customFormat="1" x14ac:dyDescent="0.2"/>
    <row r="558" s="16" customFormat="1" x14ac:dyDescent="0.2"/>
    <row r="559" s="16" customFormat="1" x14ac:dyDescent="0.2"/>
    <row r="560" s="16" customFormat="1" x14ac:dyDescent="0.2"/>
    <row r="561" s="16" customFormat="1" x14ac:dyDescent="0.2"/>
    <row r="562" s="16" customFormat="1" x14ac:dyDescent="0.2"/>
    <row r="563" s="16" customFormat="1" x14ac:dyDescent="0.2"/>
    <row r="564" s="16" customFormat="1" x14ac:dyDescent="0.2"/>
    <row r="565" s="16" customFormat="1" x14ac:dyDescent="0.2"/>
    <row r="566" s="16" customFormat="1" x14ac:dyDescent="0.2"/>
    <row r="567" s="16" customFormat="1" x14ac:dyDescent="0.2"/>
    <row r="568" s="16" customFormat="1" x14ac:dyDescent="0.2"/>
    <row r="569" s="16" customFormat="1" x14ac:dyDescent="0.2"/>
    <row r="570" s="16" customFormat="1" x14ac:dyDescent="0.2"/>
    <row r="571" s="16" customFormat="1" x14ac:dyDescent="0.2"/>
    <row r="572" s="16" customFormat="1" x14ac:dyDescent="0.2"/>
    <row r="573" s="16" customFormat="1" x14ac:dyDescent="0.2"/>
    <row r="574" s="16" customFormat="1" x14ac:dyDescent="0.2"/>
    <row r="575" s="16" customFormat="1" x14ac:dyDescent="0.2"/>
    <row r="576" s="16" customFormat="1" x14ac:dyDescent="0.2"/>
    <row r="577" s="16" customFormat="1" x14ac:dyDescent="0.2"/>
    <row r="578" s="16" customFormat="1" x14ac:dyDescent="0.2"/>
    <row r="579" s="16" customFormat="1" x14ac:dyDescent="0.2"/>
    <row r="580" s="16" customFormat="1" x14ac:dyDescent="0.2"/>
    <row r="581" s="16" customFormat="1" x14ac:dyDescent="0.2"/>
    <row r="582" s="16" customFormat="1" x14ac:dyDescent="0.2"/>
    <row r="583" s="16" customFormat="1" x14ac:dyDescent="0.2"/>
    <row r="584" s="16" customFormat="1" x14ac:dyDescent="0.2"/>
    <row r="585" s="16" customFormat="1" x14ac:dyDescent="0.2"/>
    <row r="586" s="16" customFormat="1" x14ac:dyDescent="0.2"/>
    <row r="587" s="16" customFormat="1" x14ac:dyDescent="0.2"/>
    <row r="588" s="16" customFormat="1" x14ac:dyDescent="0.2"/>
    <row r="589" s="16" customFormat="1" x14ac:dyDescent="0.2"/>
    <row r="590" s="16" customFormat="1" x14ac:dyDescent="0.2"/>
    <row r="591" s="16" customFormat="1" x14ac:dyDescent="0.2"/>
    <row r="592" s="16" customFormat="1" x14ac:dyDescent="0.2"/>
    <row r="593" s="16" customFormat="1" x14ac:dyDescent="0.2"/>
    <row r="594" s="16" customFormat="1" x14ac:dyDescent="0.2"/>
    <row r="595" s="16" customFormat="1" x14ac:dyDescent="0.2"/>
    <row r="596" s="16" customFormat="1" x14ac:dyDescent="0.2"/>
    <row r="597" s="16" customFormat="1" x14ac:dyDescent="0.2"/>
    <row r="598" s="16" customFormat="1" x14ac:dyDescent="0.2"/>
    <row r="599" s="16" customFormat="1" x14ac:dyDescent="0.2"/>
    <row r="600" s="16" customFormat="1" x14ac:dyDescent="0.2"/>
    <row r="601" s="16" customFormat="1" x14ac:dyDescent="0.2"/>
    <row r="602" s="16" customFormat="1" x14ac:dyDescent="0.2"/>
    <row r="603" s="16" customFormat="1" x14ac:dyDescent="0.2"/>
    <row r="604" s="16" customFormat="1" x14ac:dyDescent="0.2"/>
    <row r="605" s="16" customFormat="1" x14ac:dyDescent="0.2"/>
    <row r="606" s="16" customFormat="1" x14ac:dyDescent="0.2"/>
    <row r="607" s="16" customFormat="1" x14ac:dyDescent="0.2"/>
    <row r="608" s="16" customFormat="1" x14ac:dyDescent="0.2"/>
    <row r="609" s="16" customFormat="1" x14ac:dyDescent="0.2"/>
    <row r="610" s="16" customFormat="1" x14ac:dyDescent="0.2"/>
    <row r="611" s="16" customFormat="1" x14ac:dyDescent="0.2"/>
    <row r="612" s="16" customFormat="1" x14ac:dyDescent="0.2"/>
    <row r="613" s="16" customFormat="1" x14ac:dyDescent="0.2"/>
    <row r="614" s="16" customFormat="1" x14ac:dyDescent="0.2"/>
    <row r="615" s="16" customFormat="1" x14ac:dyDescent="0.2"/>
    <row r="616" s="16" customFormat="1" x14ac:dyDescent="0.2"/>
    <row r="617" s="16" customFormat="1" x14ac:dyDescent="0.2"/>
    <row r="618" s="16" customFormat="1" x14ac:dyDescent="0.2"/>
    <row r="619" s="16" customFormat="1" x14ac:dyDescent="0.2"/>
    <row r="620" s="16" customFormat="1" x14ac:dyDescent="0.2"/>
    <row r="621" s="16" customFormat="1" x14ac:dyDescent="0.2"/>
    <row r="622" s="16" customFormat="1" x14ac:dyDescent="0.2"/>
    <row r="623" s="16" customFormat="1" x14ac:dyDescent="0.2"/>
    <row r="624" s="16" customFormat="1" x14ac:dyDescent="0.2"/>
    <row r="625" s="16" customFormat="1" x14ac:dyDescent="0.2"/>
    <row r="626" s="16" customFormat="1" x14ac:dyDescent="0.2"/>
    <row r="627" s="16" customFormat="1" x14ac:dyDescent="0.2"/>
    <row r="628" s="16" customFormat="1" x14ac:dyDescent="0.2"/>
    <row r="629" s="16" customFormat="1" x14ac:dyDescent="0.2"/>
    <row r="630" s="16" customFormat="1" x14ac:dyDescent="0.2"/>
    <row r="631" s="16" customFormat="1" x14ac:dyDescent="0.2"/>
    <row r="632" s="16" customFormat="1" x14ac:dyDescent="0.2"/>
    <row r="633" s="16" customFormat="1" x14ac:dyDescent="0.2"/>
    <row r="634" s="16" customFormat="1" x14ac:dyDescent="0.2"/>
    <row r="635" s="16" customFormat="1" x14ac:dyDescent="0.2"/>
    <row r="636" s="16" customFormat="1" x14ac:dyDescent="0.2"/>
    <row r="637" s="16" customFormat="1" x14ac:dyDescent="0.2"/>
    <row r="638" s="16" customFormat="1" x14ac:dyDescent="0.2"/>
    <row r="639" s="16" customFormat="1" x14ac:dyDescent="0.2"/>
    <row r="640" s="16" customFormat="1" x14ac:dyDescent="0.2"/>
    <row r="641" s="16" customFormat="1" x14ac:dyDescent="0.2"/>
    <row r="642" s="16" customFormat="1" x14ac:dyDescent="0.2"/>
    <row r="643" s="16" customFormat="1" x14ac:dyDescent="0.2"/>
    <row r="644" s="16" customFormat="1" x14ac:dyDescent="0.2"/>
    <row r="645" s="16" customFormat="1" x14ac:dyDescent="0.2"/>
    <row r="646" s="16" customFormat="1" x14ac:dyDescent="0.2"/>
    <row r="647" s="16" customFormat="1" x14ac:dyDescent="0.2"/>
    <row r="648" s="16" customFormat="1" x14ac:dyDescent="0.2"/>
    <row r="649" s="16" customFormat="1" x14ac:dyDescent="0.2"/>
    <row r="650" s="16" customFormat="1" x14ac:dyDescent="0.2"/>
    <row r="651" s="16" customFormat="1" x14ac:dyDescent="0.2"/>
    <row r="652" s="16" customFormat="1" x14ac:dyDescent="0.2"/>
    <row r="653" s="16" customFormat="1" x14ac:dyDescent="0.2"/>
    <row r="654" s="16" customFormat="1" x14ac:dyDescent="0.2"/>
    <row r="655" s="16" customFormat="1" x14ac:dyDescent="0.2"/>
    <row r="656" s="16" customFormat="1" x14ac:dyDescent="0.2"/>
    <row r="657" s="16" customFormat="1" x14ac:dyDescent="0.2"/>
    <row r="658" s="16" customFormat="1" x14ac:dyDescent="0.2"/>
    <row r="659" s="16" customFormat="1" x14ac:dyDescent="0.2"/>
    <row r="660" s="16" customFormat="1" x14ac:dyDescent="0.2"/>
    <row r="661" s="16" customFormat="1" x14ac:dyDescent="0.2"/>
    <row r="662" s="16" customFormat="1" x14ac:dyDescent="0.2"/>
    <row r="663" s="16" customFormat="1" x14ac:dyDescent="0.2"/>
    <row r="664" s="16" customFormat="1" x14ac:dyDescent="0.2"/>
    <row r="665" s="16" customFormat="1" x14ac:dyDescent="0.2"/>
    <row r="666" s="16" customFormat="1" x14ac:dyDescent="0.2"/>
    <row r="667" s="16" customFormat="1" x14ac:dyDescent="0.2"/>
    <row r="668" s="16" customFormat="1" x14ac:dyDescent="0.2"/>
    <row r="669" s="16" customFormat="1" x14ac:dyDescent="0.2"/>
    <row r="670" s="16" customFormat="1" x14ac:dyDescent="0.2"/>
    <row r="671" s="16" customFormat="1" x14ac:dyDescent="0.2"/>
    <row r="672" s="16" customFormat="1" x14ac:dyDescent="0.2"/>
    <row r="673" s="16" customFormat="1" x14ac:dyDescent="0.2"/>
    <row r="674" s="16" customFormat="1" x14ac:dyDescent="0.2"/>
    <row r="675" s="16" customFormat="1" x14ac:dyDescent="0.2"/>
    <row r="676" s="16" customFormat="1" x14ac:dyDescent="0.2"/>
    <row r="677" s="16" customFormat="1" x14ac:dyDescent="0.2"/>
    <row r="678" s="16" customFormat="1" x14ac:dyDescent="0.2"/>
    <row r="679" s="16" customFormat="1" x14ac:dyDescent="0.2"/>
    <row r="680" s="16" customFormat="1" x14ac:dyDescent="0.2"/>
    <row r="681" s="16" customFormat="1" x14ac:dyDescent="0.2"/>
    <row r="682" s="16" customFormat="1" x14ac:dyDescent="0.2"/>
    <row r="683" s="16" customFormat="1" x14ac:dyDescent="0.2"/>
    <row r="684" s="16" customFormat="1" x14ac:dyDescent="0.2"/>
    <row r="685" s="16" customFormat="1" x14ac:dyDescent="0.2"/>
    <row r="686" s="16" customFormat="1" x14ac:dyDescent="0.2"/>
    <row r="687" s="16" customFormat="1" x14ac:dyDescent="0.2"/>
    <row r="688" s="16" customFormat="1" x14ac:dyDescent="0.2"/>
    <row r="689" s="16" customFormat="1" x14ac:dyDescent="0.2"/>
    <row r="690" s="16" customFormat="1" x14ac:dyDescent="0.2"/>
    <row r="691" s="16" customFormat="1" x14ac:dyDescent="0.2"/>
    <row r="692" s="16" customFormat="1" x14ac:dyDescent="0.2"/>
    <row r="693" s="16" customFormat="1" x14ac:dyDescent="0.2"/>
    <row r="694" s="16" customFormat="1" x14ac:dyDescent="0.2"/>
    <row r="695" s="16" customFormat="1" x14ac:dyDescent="0.2"/>
    <row r="696" s="16" customFormat="1" x14ac:dyDescent="0.2"/>
    <row r="697" s="16" customFormat="1" x14ac:dyDescent="0.2"/>
    <row r="698" s="16" customFormat="1" x14ac:dyDescent="0.2"/>
    <row r="699" s="16" customFormat="1" x14ac:dyDescent="0.2"/>
    <row r="700" s="16" customFormat="1" x14ac:dyDescent="0.2"/>
    <row r="701" s="16" customFormat="1" x14ac:dyDescent="0.2"/>
    <row r="702" s="16" customFormat="1" x14ac:dyDescent="0.2"/>
    <row r="703" s="16" customFormat="1" x14ac:dyDescent="0.2"/>
    <row r="704" s="16" customFormat="1" x14ac:dyDescent="0.2"/>
    <row r="705" s="16" customFormat="1" x14ac:dyDescent="0.2"/>
    <row r="706" s="16" customFormat="1" x14ac:dyDescent="0.2"/>
    <row r="707" s="16" customFormat="1" x14ac:dyDescent="0.2"/>
    <row r="708" s="16" customFormat="1" x14ac:dyDescent="0.2"/>
    <row r="709" s="16" customFormat="1" x14ac:dyDescent="0.2"/>
    <row r="710" s="16" customFormat="1" x14ac:dyDescent="0.2"/>
    <row r="711" s="16" customFormat="1" x14ac:dyDescent="0.2"/>
    <row r="712" s="16" customFormat="1" x14ac:dyDescent="0.2"/>
    <row r="713" s="16" customFormat="1" x14ac:dyDescent="0.2"/>
    <row r="714" s="16" customFormat="1" x14ac:dyDescent="0.2"/>
    <row r="715" s="16" customFormat="1" x14ac:dyDescent="0.2"/>
    <row r="716" s="16" customFormat="1" x14ac:dyDescent="0.2"/>
    <row r="717" s="16" customFormat="1" x14ac:dyDescent="0.2"/>
    <row r="718" s="16" customFormat="1" x14ac:dyDescent="0.2"/>
    <row r="719" s="16" customFormat="1" x14ac:dyDescent="0.2"/>
    <row r="720" s="16" customFormat="1" x14ac:dyDescent="0.2"/>
    <row r="721" s="16" customFormat="1" x14ac:dyDescent="0.2"/>
    <row r="722" s="16" customFormat="1" x14ac:dyDescent="0.2"/>
    <row r="723" s="16" customFormat="1" x14ac:dyDescent="0.2"/>
    <row r="724" s="16" customFormat="1" x14ac:dyDescent="0.2"/>
    <row r="725" s="16" customFormat="1" x14ac:dyDescent="0.2"/>
    <row r="726" s="16" customFormat="1" x14ac:dyDescent="0.2"/>
    <row r="727" s="16" customFormat="1" x14ac:dyDescent="0.2"/>
    <row r="728" s="16" customFormat="1" x14ac:dyDescent="0.2"/>
    <row r="729" s="16" customFormat="1" x14ac:dyDescent="0.2"/>
    <row r="730" s="16" customFormat="1" x14ac:dyDescent="0.2"/>
    <row r="731" s="16" customFormat="1" x14ac:dyDescent="0.2"/>
    <row r="732" s="16" customFormat="1" x14ac:dyDescent="0.2"/>
    <row r="733" s="16" customFormat="1" x14ac:dyDescent="0.2"/>
    <row r="734" s="16" customFormat="1" x14ac:dyDescent="0.2"/>
    <row r="735" s="16" customFormat="1" x14ac:dyDescent="0.2"/>
    <row r="736" s="16" customFormat="1" x14ac:dyDescent="0.2"/>
    <row r="737" s="16" customFormat="1" x14ac:dyDescent="0.2"/>
    <row r="738" s="16" customFormat="1" x14ac:dyDescent="0.2"/>
    <row r="739" s="16" customFormat="1" x14ac:dyDescent="0.2"/>
    <row r="740" s="16" customFormat="1" x14ac:dyDescent="0.2"/>
    <row r="741" s="16" customFormat="1" x14ac:dyDescent="0.2"/>
    <row r="742" s="16" customFormat="1" x14ac:dyDescent="0.2"/>
    <row r="743" s="16" customFormat="1" x14ac:dyDescent="0.2"/>
    <row r="744" s="16" customFormat="1" x14ac:dyDescent="0.2"/>
    <row r="745" s="16" customFormat="1" x14ac:dyDescent="0.2"/>
    <row r="746" s="16" customFormat="1" x14ac:dyDescent="0.2"/>
    <row r="747" s="16" customFormat="1" x14ac:dyDescent="0.2"/>
    <row r="748" s="16" customFormat="1" x14ac:dyDescent="0.2"/>
    <row r="749" s="16" customFormat="1" x14ac:dyDescent="0.2"/>
    <row r="750" s="16" customFormat="1" x14ac:dyDescent="0.2"/>
    <row r="751" s="16" customFormat="1" x14ac:dyDescent="0.2"/>
    <row r="752" s="16" customFormat="1" x14ac:dyDescent="0.2"/>
    <row r="753" s="16" customFormat="1" x14ac:dyDescent="0.2"/>
    <row r="754" s="16" customFormat="1" x14ac:dyDescent="0.2"/>
    <row r="755" s="16" customFormat="1" x14ac:dyDescent="0.2"/>
    <row r="756" s="16" customFormat="1" x14ac:dyDescent="0.2"/>
    <row r="757" s="16" customFormat="1"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Instructions, Start Here</vt:lpstr>
      <vt:lpstr>List of Questions</vt:lpstr>
      <vt:lpstr>Hints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Hossein Khatami</dc:creator>
  <cp:lastModifiedBy>Hossein Khatami</cp:lastModifiedBy>
  <dcterms:created xsi:type="dcterms:W3CDTF">2020-09-07T21:02:00Z</dcterms:created>
  <dcterms:modified xsi:type="dcterms:W3CDTF">2021-01-25T20:35:17Z</dcterms:modified>
</cp:coreProperties>
</file>